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werappman-my.sharepoint.com/personal/prgerber69_powerappman_onmicrosoft_com/Documents/DATAAXE/PROJECTS/ASHTON GRAY/"/>
    </mc:Choice>
  </mc:AlternateContent>
  <xr:revisionPtr revIDLastSave="16" documentId="13_ncr:1_{63D6D7B6-AC51-4E01-A89F-C8D4A05E0742}" xr6:coauthVersionLast="47" xr6:coauthVersionMax="47" xr10:uidLastSave="{32C366DD-C38B-4396-A80D-EAEDF46467E2}"/>
  <bookViews>
    <workbookView xWindow="23880" yWindow="-120" windowWidth="29040" windowHeight="15840" tabRatio="642" xr2:uid="{AC2E12CB-6CF4-452E-A19E-02B4B07A1BB1}"/>
  </bookViews>
  <sheets>
    <sheet name="Sheet 2" sheetId="1" r:id="rId1"/>
    <sheet name="2021 Billing Projections" sheetId="5" r:id="rId2"/>
    <sheet name="01 2021" sheetId="6" r:id="rId3"/>
    <sheet name="02 2021" sheetId="7" r:id="rId4"/>
    <sheet name="03 2021" sheetId="8" r:id="rId5"/>
    <sheet name="04 2021" sheetId="9" r:id="rId6"/>
    <sheet name="05 2021" sheetId="11" r:id="rId7"/>
    <sheet name="06 2021" sheetId="12" r:id="rId8"/>
    <sheet name="07 2021" sheetId="13" r:id="rId9"/>
    <sheet name="08 2021" sheetId="14" r:id="rId10"/>
    <sheet name="09 2021" sheetId="16" r:id="rId11"/>
    <sheet name="10 2021" sheetId="18" r:id="rId12"/>
    <sheet name="11 2021" sheetId="19" r:id="rId13"/>
    <sheet name="12 2021" sheetId="24" r:id="rId14"/>
    <sheet name="01 2022" sheetId="27" r:id="rId15"/>
    <sheet name="02 2022" sheetId="31" r:id="rId16"/>
    <sheet name="03 2022" sheetId="29" r:id="rId17"/>
    <sheet name="04 2022" sheetId="32" r:id="rId18"/>
  </sheets>
  <definedNames>
    <definedName name="_xlnm._FilterDatabase" localSheetId="14" hidden="1">'01 2022'!$A$2:$AU$108</definedName>
    <definedName name="_xlnm._FilterDatabase" localSheetId="15" hidden="1">'02 2022'!$A$2:$AU$104</definedName>
    <definedName name="_xlnm._FilterDatabase" localSheetId="16" hidden="1">'03 2022'!$A$2:$AT$93</definedName>
    <definedName name="_xlnm._FilterDatabase" localSheetId="17" hidden="1">'04 2022'!$A$2:$AU$93</definedName>
    <definedName name="_xlnm._FilterDatabase" localSheetId="9" hidden="1">'08 2021'!$A$2:$AK$2</definedName>
    <definedName name="_xlnm._FilterDatabase" localSheetId="10" hidden="1">'09 2021'!$A$2:$AL$2</definedName>
    <definedName name="_xlnm._FilterDatabase" localSheetId="11" hidden="1">'10 2021'!$A$2:$AL$2</definedName>
    <definedName name="_xlnm._FilterDatabase" localSheetId="12" hidden="1">'11 2021'!$A$2:$BA$135</definedName>
    <definedName name="_xlnm._FilterDatabase" localSheetId="13" hidden="1">'12 2021'!$A$2:$BD$146</definedName>
    <definedName name="_xlnm._FilterDatabase" localSheetId="0" hidden="1">'Sheet 2'!$A$1:$V$46</definedName>
    <definedName name="_xlnm.Print_Area" localSheetId="0">'Sheet 2'!$A$1:$Y$120</definedName>
    <definedName name="_xlnm.Print_Titles" localSheetId="0">'Sheet 2'!$1:$1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66" i="32" l="1"/>
  <c r="AC94" i="32"/>
  <c r="AD94" i="32"/>
  <c r="AE94" i="32"/>
  <c r="AF94" i="32"/>
  <c r="AG94" i="32"/>
  <c r="AH94" i="32"/>
  <c r="AI94" i="32"/>
  <c r="AJ94" i="32"/>
  <c r="AK94" i="32"/>
  <c r="AL94" i="32"/>
  <c r="AM94" i="32"/>
  <c r="AN94" i="32"/>
  <c r="AB94" i="32"/>
  <c r="AA94" i="32"/>
  <c r="AC51" i="32"/>
  <c r="AD51" i="32"/>
  <c r="AE51" i="32"/>
  <c r="AF51" i="32"/>
  <c r="AG51" i="32"/>
  <c r="AH51" i="32"/>
  <c r="AI51" i="32"/>
  <c r="AJ51" i="32"/>
  <c r="AK51" i="32"/>
  <c r="AL51" i="32"/>
  <c r="AM51" i="32"/>
  <c r="AN51" i="32"/>
  <c r="AO51" i="32"/>
  <c r="AB51" i="32"/>
  <c r="AA51" i="32"/>
  <c r="O86" i="32"/>
  <c r="R86" i="32" s="1"/>
  <c r="T84" i="32"/>
  <c r="U84" i="32" s="1"/>
  <c r="W84" i="32" s="1"/>
  <c r="T70" i="32"/>
  <c r="U70" i="32" s="1"/>
  <c r="W70" i="32" s="1"/>
  <c r="T71" i="32"/>
  <c r="U71" i="32" s="1"/>
  <c r="W71" i="32" s="1"/>
  <c r="T72" i="32"/>
  <c r="U72" i="32" s="1"/>
  <c r="W72" i="32" s="1"/>
  <c r="T73" i="32"/>
  <c r="T74" i="32"/>
  <c r="U74" i="32" s="1"/>
  <c r="W74" i="32" s="1"/>
  <c r="AN156" i="32"/>
  <c r="AM156" i="32"/>
  <c r="AL156" i="32"/>
  <c r="AK156" i="32"/>
  <c r="AJ156" i="32"/>
  <c r="AI156" i="32"/>
  <c r="AH156" i="32"/>
  <c r="AG156" i="32"/>
  <c r="AF156" i="32"/>
  <c r="AE156" i="32"/>
  <c r="AD156" i="32"/>
  <c r="AC156" i="32"/>
  <c r="AA156" i="32"/>
  <c r="AQ154" i="32"/>
  <c r="AS154" i="32" s="1"/>
  <c r="AQ153" i="32"/>
  <c r="AS153" i="32" s="1"/>
  <c r="AQ152" i="32"/>
  <c r="AS152" i="32" s="1"/>
  <c r="AO151" i="32"/>
  <c r="AO156" i="32" s="1"/>
  <c r="AQ150" i="32"/>
  <c r="AS150" i="32" s="1"/>
  <c r="AQ149" i="32"/>
  <c r="AS149" i="32" s="1"/>
  <c r="AQ148" i="32"/>
  <c r="AS148" i="32" s="1"/>
  <c r="AQ147" i="32"/>
  <c r="AS147" i="32" s="1"/>
  <c r="AQ146" i="32"/>
  <c r="AS146" i="32" s="1"/>
  <c r="AS145" i="32"/>
  <c r="AQ144" i="32"/>
  <c r="AS144" i="32" s="1"/>
  <c r="AQ143" i="32"/>
  <c r="AS143" i="32" s="1"/>
  <c r="AQ142" i="32"/>
  <c r="AS142" i="32" s="1"/>
  <c r="AQ141" i="32"/>
  <c r="AS141" i="32" s="1"/>
  <c r="AQ140" i="32"/>
  <c r="AS140" i="32" s="1"/>
  <c r="AQ139" i="32"/>
  <c r="AS139" i="32" s="1"/>
  <c r="AQ138" i="32"/>
  <c r="AS138" i="32" s="1"/>
  <c r="AQ137" i="32"/>
  <c r="AS137" i="32" s="1"/>
  <c r="AQ136" i="32"/>
  <c r="AS136" i="32" s="1"/>
  <c r="AQ135" i="32"/>
  <c r="AS135" i="32" s="1"/>
  <c r="AQ134" i="32"/>
  <c r="AS134" i="32" s="1"/>
  <c r="AQ133" i="32"/>
  <c r="AS133" i="32" s="1"/>
  <c r="AS132" i="32"/>
  <c r="AQ132" i="32"/>
  <c r="AQ131" i="32"/>
  <c r="AS131" i="32" s="1"/>
  <c r="AQ130" i="32"/>
  <c r="AS130" i="32" s="1"/>
  <c r="AQ129" i="32"/>
  <c r="AS129" i="32" s="1"/>
  <c r="AQ128" i="32"/>
  <c r="AS128" i="32" s="1"/>
  <c r="AQ127" i="32"/>
  <c r="AS127" i="32" s="1"/>
  <c r="AQ126" i="32"/>
  <c r="AS126" i="32" s="1"/>
  <c r="AQ125" i="32"/>
  <c r="AS125" i="32" s="1"/>
  <c r="AQ124" i="32"/>
  <c r="AS124" i="32" s="1"/>
  <c r="AQ123" i="32"/>
  <c r="AS123" i="32" s="1"/>
  <c r="AQ122" i="32"/>
  <c r="AS122" i="32" s="1"/>
  <c r="AS121" i="32"/>
  <c r="AQ106" i="32"/>
  <c r="AS106" i="32" s="1"/>
  <c r="R106" i="32"/>
  <c r="Q106" i="32"/>
  <c r="P106" i="32"/>
  <c r="AQ105" i="32"/>
  <c r="AS105" i="32" s="1"/>
  <c r="W105" i="32"/>
  <c r="R105" i="32"/>
  <c r="Q105" i="32"/>
  <c r="P105" i="32"/>
  <c r="AQ104" i="32"/>
  <c r="AS104" i="32" s="1"/>
  <c r="W104" i="32"/>
  <c r="R104" i="32"/>
  <c r="Q104" i="32"/>
  <c r="P104" i="32"/>
  <c r="AQ103" i="32"/>
  <c r="AS103" i="32" s="1"/>
  <c r="W103" i="32"/>
  <c r="R103" i="32"/>
  <c r="Q103" i="32"/>
  <c r="P103" i="32"/>
  <c r="AQ102" i="32"/>
  <c r="AS102" i="32" s="1"/>
  <c r="W102" i="32"/>
  <c r="R102" i="32"/>
  <c r="Q102" i="32"/>
  <c r="P102" i="32"/>
  <c r="AQ101" i="32"/>
  <c r="AS101" i="32" s="1"/>
  <c r="W101" i="32"/>
  <c r="R101" i="32"/>
  <c r="Q101" i="32"/>
  <c r="P101" i="32"/>
  <c r="AS100" i="32"/>
  <c r="AN98" i="32"/>
  <c r="AM98" i="32"/>
  <c r="AL98" i="32"/>
  <c r="AK98" i="32"/>
  <c r="AJ98" i="32"/>
  <c r="AI98" i="32"/>
  <c r="AH98" i="32"/>
  <c r="AG98" i="32"/>
  <c r="AF98" i="32"/>
  <c r="AS95" i="32"/>
  <c r="AQ92" i="32"/>
  <c r="AS92" i="32" s="1"/>
  <c r="Q92" i="32"/>
  <c r="O92" i="32"/>
  <c r="T92" i="32" s="1"/>
  <c r="AQ91" i="32"/>
  <c r="AS91" i="32" s="1"/>
  <c r="Q91" i="32"/>
  <c r="O91" i="32"/>
  <c r="T91" i="32" s="1"/>
  <c r="AQ90" i="32"/>
  <c r="AS90" i="32" s="1"/>
  <c r="Q90" i="32"/>
  <c r="O90" i="32"/>
  <c r="T90" i="32" s="1"/>
  <c r="AQ89" i="32"/>
  <c r="AS89" i="32" s="1"/>
  <c r="Q89" i="32"/>
  <c r="O89" i="32"/>
  <c r="T89" i="32" s="1"/>
  <c r="AQ88" i="32"/>
  <c r="AS88" i="32" s="1"/>
  <c r="Q88" i="32"/>
  <c r="O88" i="32"/>
  <c r="R88" i="32" s="1"/>
  <c r="AQ87" i="32"/>
  <c r="AS87" i="32" s="1"/>
  <c r="Q87" i="32"/>
  <c r="O87" i="32"/>
  <c r="R87" i="32" s="1"/>
  <c r="AQ86" i="32"/>
  <c r="AS86" i="32" s="1"/>
  <c r="Q86" i="32"/>
  <c r="AS155" i="32"/>
  <c r="AQ155" i="32"/>
  <c r="AQ85" i="32"/>
  <c r="AS85" i="32" s="1"/>
  <c r="Q85" i="32"/>
  <c r="AQ84" i="32"/>
  <c r="AS84" i="32" s="1"/>
  <c r="Q84" i="32"/>
  <c r="R84" i="32"/>
  <c r="AQ107" i="32"/>
  <c r="AS107" i="32" s="1"/>
  <c r="AO82" i="32"/>
  <c r="AQ82" i="32" s="1"/>
  <c r="AS82" i="32" s="1"/>
  <c r="Q82" i="32"/>
  <c r="O82" i="32"/>
  <c r="P82" i="32" s="1"/>
  <c r="AQ81" i="32"/>
  <c r="AS81" i="32" s="1"/>
  <c r="U81" i="32"/>
  <c r="W81" i="32" s="1"/>
  <c r="Q81" i="32"/>
  <c r="O81" i="32"/>
  <c r="P81" i="32" s="1"/>
  <c r="AQ80" i="32"/>
  <c r="AS80" i="32" s="1"/>
  <c r="U80" i="32"/>
  <c r="W80" i="32" s="1"/>
  <c r="Q80" i="32"/>
  <c r="O80" i="32"/>
  <c r="P80" i="32" s="1"/>
  <c r="AQ79" i="32"/>
  <c r="AS79" i="32" s="1"/>
  <c r="Q79" i="32"/>
  <c r="O79" i="32"/>
  <c r="T79" i="32" s="1"/>
  <c r="U79" i="32" s="1"/>
  <c r="W79" i="32" s="1"/>
  <c r="AS78" i="32"/>
  <c r="AO77" i="32"/>
  <c r="AN77" i="32"/>
  <c r="AK77" i="32"/>
  <c r="AJ77" i="32"/>
  <c r="AI77" i="32"/>
  <c r="AH77" i="32"/>
  <c r="AG77" i="32"/>
  <c r="AF77" i="32"/>
  <c r="AE77" i="32"/>
  <c r="AD77" i="32"/>
  <c r="AC77" i="32"/>
  <c r="AB77" i="32"/>
  <c r="AA77" i="32"/>
  <c r="AQ76" i="32"/>
  <c r="AS76" i="32" s="1"/>
  <c r="U76" i="32"/>
  <c r="W76" i="32" s="1"/>
  <c r="Q76" i="32"/>
  <c r="O76" i="32"/>
  <c r="P76" i="32" s="1"/>
  <c r="AQ75" i="32"/>
  <c r="AS75" i="32" s="1"/>
  <c r="U75" i="32"/>
  <c r="W75" i="32" s="1"/>
  <c r="R75" i="32"/>
  <c r="Q75" i="32"/>
  <c r="P75" i="32"/>
  <c r="AQ74" i="32"/>
  <c r="AS74" i="32" s="1"/>
  <c r="R74" i="32"/>
  <c r="Q74" i="32"/>
  <c r="P74" i="32"/>
  <c r="AQ73" i="32"/>
  <c r="AS73" i="32" s="1"/>
  <c r="U73" i="32"/>
  <c r="W73" i="32" s="1"/>
  <c r="Q73" i="32"/>
  <c r="R73" i="32"/>
  <c r="AQ72" i="32"/>
  <c r="AS72" i="32" s="1"/>
  <c r="Q72" i="32"/>
  <c r="R72" i="32"/>
  <c r="AM71" i="32"/>
  <c r="AM77" i="32" s="1"/>
  <c r="R71" i="32"/>
  <c r="Q71" i="32"/>
  <c r="P71" i="32"/>
  <c r="AQ69" i="32"/>
  <c r="AS69" i="32" s="1"/>
  <c r="AL70" i="32"/>
  <c r="AQ70" i="32" s="1"/>
  <c r="AS70" i="32" s="1"/>
  <c r="Q70" i="32"/>
  <c r="P70" i="32"/>
  <c r="AQ68" i="32"/>
  <c r="AS68" i="32" s="1"/>
  <c r="U68" i="32"/>
  <c r="W68" i="32" s="1"/>
  <c r="R68" i="32"/>
  <c r="Q68" i="32"/>
  <c r="P68" i="32"/>
  <c r="AQ67" i="32"/>
  <c r="AS67" i="32" s="1"/>
  <c r="U67" i="32"/>
  <c r="W67" i="32" s="1"/>
  <c r="R67" i="32"/>
  <c r="Q67" i="32"/>
  <c r="P67" i="32"/>
  <c r="AQ66" i="32"/>
  <c r="W66" i="32"/>
  <c r="R66" i="32"/>
  <c r="Q66" i="32"/>
  <c r="P66" i="32"/>
  <c r="AQ65" i="32"/>
  <c r="AS65" i="32" s="1"/>
  <c r="T65" i="32"/>
  <c r="U65" i="32" s="1"/>
  <c r="W65" i="32" s="1"/>
  <c r="R65" i="32"/>
  <c r="Q65" i="32"/>
  <c r="P65" i="32"/>
  <c r="AQ64" i="32"/>
  <c r="AS64" i="32" s="1"/>
  <c r="W64" i="32"/>
  <c r="R64" i="32"/>
  <c r="Q64" i="32"/>
  <c r="P64" i="32"/>
  <c r="AQ63" i="32"/>
  <c r="AS63" i="32" s="1"/>
  <c r="W63" i="32"/>
  <c r="R63" i="32"/>
  <c r="Q63" i="32"/>
  <c r="P63" i="32"/>
  <c r="AQ62" i="32"/>
  <c r="AS62" i="32" s="1"/>
  <c r="W62" i="32"/>
  <c r="R62" i="32"/>
  <c r="Q62" i="32"/>
  <c r="P62" i="32"/>
  <c r="AQ61" i="32"/>
  <c r="AS61" i="32" s="1"/>
  <c r="U61" i="32"/>
  <c r="W61" i="32" s="1"/>
  <c r="Q61" i="32"/>
  <c r="O61" i="32"/>
  <c r="R61" i="32" s="1"/>
  <c r="AS60" i="32"/>
  <c r="AO59" i="32"/>
  <c r="AN59" i="32"/>
  <c r="AM59" i="32"/>
  <c r="AL59" i="32"/>
  <c r="AK59" i="32"/>
  <c r="AJ59" i="32"/>
  <c r="AI59" i="32"/>
  <c r="AH59" i="32"/>
  <c r="AG59" i="32"/>
  <c r="AF59" i="32"/>
  <c r="AE59" i="32"/>
  <c r="AD59" i="32"/>
  <c r="AC59" i="32"/>
  <c r="AB59" i="32"/>
  <c r="AA59" i="32"/>
  <c r="AQ58" i="32"/>
  <c r="AS58" i="32" s="1"/>
  <c r="U58" i="32"/>
  <c r="W58" i="32" s="1"/>
  <c r="R58" i="32"/>
  <c r="Q58" i="32"/>
  <c r="P58" i="32"/>
  <c r="AQ57" i="32"/>
  <c r="AS57" i="32" s="1"/>
  <c r="U57" i="32"/>
  <c r="W57" i="32" s="1"/>
  <c r="R57" i="32"/>
  <c r="Q57" i="32"/>
  <c r="P57" i="32"/>
  <c r="AQ56" i="32"/>
  <c r="AS56" i="32" s="1"/>
  <c r="W56" i="32"/>
  <c r="R56" i="32"/>
  <c r="Q56" i="32"/>
  <c r="P56" i="32"/>
  <c r="AQ55" i="32"/>
  <c r="AS55" i="32" s="1"/>
  <c r="W55" i="32"/>
  <c r="R55" i="32"/>
  <c r="Q55" i="32"/>
  <c r="P55" i="32"/>
  <c r="AQ54" i="32"/>
  <c r="AS54" i="32" s="1"/>
  <c r="T54" i="32"/>
  <c r="U54" i="32" s="1"/>
  <c r="W54" i="32" s="1"/>
  <c r="R54" i="32"/>
  <c r="Q54" i="32"/>
  <c r="P54" i="32"/>
  <c r="AQ53" i="32"/>
  <c r="W53" i="32"/>
  <c r="R53" i="32"/>
  <c r="Q53" i="32"/>
  <c r="P53" i="32"/>
  <c r="AS52" i="32"/>
  <c r="AQ50" i="32"/>
  <c r="AS50" i="32" s="1"/>
  <c r="AQ49" i="32"/>
  <c r="AS49" i="32" s="1"/>
  <c r="O49" i="32"/>
  <c r="R49" i="32" s="1"/>
  <c r="N49" i="32"/>
  <c r="Q49" i="32" s="1"/>
  <c r="AQ48" i="32"/>
  <c r="AS48" i="32" s="1"/>
  <c r="O48" i="32"/>
  <c r="R48" i="32" s="1"/>
  <c r="N48" i="32"/>
  <c r="Q48" i="32" s="1"/>
  <c r="AQ47" i="32"/>
  <c r="AS47" i="32" s="1"/>
  <c r="O47" i="32"/>
  <c r="T47" i="32" s="1"/>
  <c r="U47" i="32" s="1"/>
  <c r="W47" i="32" s="1"/>
  <c r="N47" i="32"/>
  <c r="Q47" i="32" s="1"/>
  <c r="AQ46" i="32"/>
  <c r="AS46" i="32" s="1"/>
  <c r="O46" i="32"/>
  <c r="R46" i="32" s="1"/>
  <c r="N46" i="32"/>
  <c r="Q46" i="32" s="1"/>
  <c r="AQ45" i="32"/>
  <c r="AS45" i="32" s="1"/>
  <c r="T45" i="32"/>
  <c r="U45" i="32" s="1"/>
  <c r="W45" i="32" s="1"/>
  <c r="R45" i="32"/>
  <c r="P45" i="32"/>
  <c r="N45" i="32"/>
  <c r="Q45" i="32" s="1"/>
  <c r="AQ44" i="32"/>
  <c r="AS44" i="32" s="1"/>
  <c r="U44" i="32"/>
  <c r="W44" i="32" s="1"/>
  <c r="O44" i="32"/>
  <c r="P44" i="32" s="1"/>
  <c r="N44" i="32"/>
  <c r="Q44" i="32" s="1"/>
  <c r="AQ43" i="32"/>
  <c r="AS43" i="32" s="1"/>
  <c r="U43" i="32"/>
  <c r="W43" i="32" s="1"/>
  <c r="O43" i="32"/>
  <c r="R43" i="32" s="1"/>
  <c r="N43" i="32"/>
  <c r="Q43" i="32" s="1"/>
  <c r="AQ42" i="32"/>
  <c r="AS42" i="32" s="1"/>
  <c r="W42" i="32"/>
  <c r="R42" i="32"/>
  <c r="Q42" i="32"/>
  <c r="P42" i="32"/>
  <c r="AS41" i="32"/>
  <c r="AO40" i="32"/>
  <c r="AN40" i="32"/>
  <c r="AM40" i="32"/>
  <c r="AL40" i="32"/>
  <c r="AK40" i="32"/>
  <c r="AJ40" i="32"/>
  <c r="AI40" i="32"/>
  <c r="AH40" i="32"/>
  <c r="AG40" i="32"/>
  <c r="AF40" i="32"/>
  <c r="AE40" i="32"/>
  <c r="AD40" i="32"/>
  <c r="AC40" i="32"/>
  <c r="AB40" i="32"/>
  <c r="AA40" i="32"/>
  <c r="AQ39" i="32"/>
  <c r="AS39" i="32" s="1"/>
  <c r="W39" i="32"/>
  <c r="R39" i="32"/>
  <c r="Q39" i="32"/>
  <c r="AQ38" i="32"/>
  <c r="W38" i="32"/>
  <c r="R38" i="32"/>
  <c r="Q38" i="32"/>
  <c r="AS37" i="32"/>
  <c r="AO36" i="32"/>
  <c r="AN36" i="32"/>
  <c r="AM36" i="32"/>
  <c r="AL36" i="32"/>
  <c r="AK36" i="32"/>
  <c r="AJ36" i="32"/>
  <c r="AI36" i="32"/>
  <c r="AH36" i="32"/>
  <c r="AG36" i="32"/>
  <c r="AF36" i="32"/>
  <c r="AE36" i="32"/>
  <c r="AD36" i="32"/>
  <c r="AC36" i="32"/>
  <c r="AB36" i="32"/>
  <c r="AA36" i="32"/>
  <c r="AQ35" i="32"/>
  <c r="AS35" i="32" s="1"/>
  <c r="O35" i="32"/>
  <c r="T35" i="32" s="1"/>
  <c r="U35" i="32" s="1"/>
  <c r="W35" i="32" s="1"/>
  <c r="N35" i="32"/>
  <c r="Q35" i="32" s="1"/>
  <c r="AQ34" i="32"/>
  <c r="AS34" i="32" s="1"/>
  <c r="O34" i="32"/>
  <c r="T34" i="32" s="1"/>
  <c r="U34" i="32" s="1"/>
  <c r="W34" i="32" s="1"/>
  <c r="N34" i="32"/>
  <c r="Q34" i="32" s="1"/>
  <c r="AQ33" i="32"/>
  <c r="AS33" i="32" s="1"/>
  <c r="O33" i="32"/>
  <c r="T33" i="32" s="1"/>
  <c r="U33" i="32" s="1"/>
  <c r="W33" i="32" s="1"/>
  <c r="N33" i="32"/>
  <c r="Q33" i="32" s="1"/>
  <c r="AQ32" i="32"/>
  <c r="AS32" i="32" s="1"/>
  <c r="O32" i="32"/>
  <c r="T32" i="32" s="1"/>
  <c r="U32" i="32" s="1"/>
  <c r="W32" i="32" s="1"/>
  <c r="N32" i="32"/>
  <c r="Q32" i="32" s="1"/>
  <c r="AQ31" i="32"/>
  <c r="AS31" i="32" s="1"/>
  <c r="O31" i="32"/>
  <c r="T31" i="32" s="1"/>
  <c r="U31" i="32" s="1"/>
  <c r="W31" i="32" s="1"/>
  <c r="N31" i="32"/>
  <c r="Q31" i="32" s="1"/>
  <c r="AQ30" i="32"/>
  <c r="AS30" i="32" s="1"/>
  <c r="U30" i="32"/>
  <c r="W30" i="32" s="1"/>
  <c r="R30" i="32"/>
  <c r="Q30" i="32"/>
  <c r="P30" i="32"/>
  <c r="AQ29" i="32"/>
  <c r="AS29" i="32" s="1"/>
  <c r="T29" i="32"/>
  <c r="W29" i="32" s="1"/>
  <c r="R29" i="32"/>
  <c r="Q29" i="32"/>
  <c r="P29" i="32"/>
  <c r="AQ28" i="32"/>
  <c r="AS28" i="32" s="1"/>
  <c r="W28" i="32"/>
  <c r="R28" i="32"/>
  <c r="Q28" i="32"/>
  <c r="P28" i="32"/>
  <c r="AQ27" i="32"/>
  <c r="AS27" i="32" s="1"/>
  <c r="AQ26" i="32"/>
  <c r="AS26" i="32" s="1"/>
  <c r="W26" i="32"/>
  <c r="R26" i="32"/>
  <c r="Q26" i="32"/>
  <c r="P26" i="32"/>
  <c r="AQ25" i="32"/>
  <c r="Q25" i="32"/>
  <c r="O25" i="32"/>
  <c r="T25" i="32" s="1"/>
  <c r="U25" i="32" s="1"/>
  <c r="W25" i="32" s="1"/>
  <c r="AQ24" i="32"/>
  <c r="W24" i="32"/>
  <c r="R24" i="32"/>
  <c r="Q24" i="32"/>
  <c r="P24" i="32"/>
  <c r="AS23" i="32"/>
  <c r="AO22" i="32"/>
  <c r="AN22" i="32"/>
  <c r="AM22" i="32"/>
  <c r="AL22" i="32"/>
  <c r="AK22" i="32"/>
  <c r="AJ22" i="32"/>
  <c r="AI22" i="32"/>
  <c r="AH22" i="32"/>
  <c r="AG22" i="32"/>
  <c r="AF22" i="32"/>
  <c r="AE22" i="32"/>
  <c r="AD22" i="32"/>
  <c r="AC22" i="32"/>
  <c r="AB22" i="32"/>
  <c r="AA22" i="32"/>
  <c r="AQ21" i="32"/>
  <c r="AS21" i="32" s="1"/>
  <c r="T21" i="32"/>
  <c r="W21" i="32" s="1"/>
  <c r="R21" i="32"/>
  <c r="Q21" i="32"/>
  <c r="P21" i="32"/>
  <c r="AQ20" i="32"/>
  <c r="AS20" i="32" s="1"/>
  <c r="Q20" i="32"/>
  <c r="O20" i="32"/>
  <c r="T20" i="32" s="1"/>
  <c r="U20" i="32" s="1"/>
  <c r="W20" i="32" s="1"/>
  <c r="AQ19" i="32"/>
  <c r="AS19" i="32" s="1"/>
  <c r="T19" i="32"/>
  <c r="U19" i="32" s="1"/>
  <c r="W19" i="32" s="1"/>
  <c r="R19" i="32"/>
  <c r="Q19" i="32"/>
  <c r="P19" i="32"/>
  <c r="AQ18" i="32"/>
  <c r="AS18" i="32" s="1"/>
  <c r="Q18" i="32"/>
  <c r="O18" i="32"/>
  <c r="T18" i="32" s="1"/>
  <c r="U18" i="32" s="1"/>
  <c r="W18" i="32" s="1"/>
  <c r="AQ17" i="32"/>
  <c r="AS17" i="32" s="1"/>
  <c r="U17" i="32"/>
  <c r="W17" i="32" s="1"/>
  <c r="R17" i="32"/>
  <c r="Q17" i="32"/>
  <c r="P17" i="32"/>
  <c r="AQ16" i="32"/>
  <c r="AS16" i="32" s="1"/>
  <c r="Q16" i="32"/>
  <c r="O16" i="32"/>
  <c r="T16" i="32" s="1"/>
  <c r="U16" i="32" s="1"/>
  <c r="W16" i="32" s="1"/>
  <c r="AQ15" i="32"/>
  <c r="AS15" i="32" s="1"/>
  <c r="T15" i="32"/>
  <c r="U15" i="32" s="1"/>
  <c r="W15" i="32" s="1"/>
  <c r="R15" i="32"/>
  <c r="Q15" i="32"/>
  <c r="P15" i="32"/>
  <c r="AQ14" i="32"/>
  <c r="AS14" i="32" s="1"/>
  <c r="T14" i="32"/>
  <c r="U14" i="32" s="1"/>
  <c r="W14" i="32" s="1"/>
  <c r="R14" i="32"/>
  <c r="Q14" i="32"/>
  <c r="P14" i="32"/>
  <c r="AQ13" i="32"/>
  <c r="AS13" i="32" s="1"/>
  <c r="W13" i="32"/>
  <c r="R13" i="32"/>
  <c r="Q13" i="32"/>
  <c r="P13" i="32"/>
  <c r="AQ12" i="32"/>
  <c r="AS12" i="32" s="1"/>
  <c r="W12" i="32"/>
  <c r="R12" i="32"/>
  <c r="Q12" i="32"/>
  <c r="P12" i="32"/>
  <c r="AQ11" i="32"/>
  <c r="AS11" i="32" s="1"/>
  <c r="T11" i="32"/>
  <c r="U11" i="32" s="1"/>
  <c r="W11" i="32" s="1"/>
  <c r="R11" i="32"/>
  <c r="Q11" i="32"/>
  <c r="P11" i="32"/>
  <c r="AQ10" i="32"/>
  <c r="AS10" i="32" s="1"/>
  <c r="W10" i="32"/>
  <c r="R10" i="32"/>
  <c r="Q10" i="32"/>
  <c r="P10" i="32"/>
  <c r="AQ9" i="32"/>
  <c r="AS9" i="32" s="1"/>
  <c r="W9" i="32"/>
  <c r="R9" i="32"/>
  <c r="Q9" i="32"/>
  <c r="P9" i="32"/>
  <c r="AQ8" i="32"/>
  <c r="AS8" i="32" s="1"/>
  <c r="W8" i="32"/>
  <c r="R8" i="32"/>
  <c r="Q8" i="32"/>
  <c r="P8" i="32"/>
  <c r="AQ7" i="32"/>
  <c r="W7" i="32"/>
  <c r="R7" i="32"/>
  <c r="Q7" i="32"/>
  <c r="P7" i="32"/>
  <c r="AQ6" i="32"/>
  <c r="AS6" i="32" s="1"/>
  <c r="W6" i="32"/>
  <c r="R6" i="32"/>
  <c r="Q6" i="32"/>
  <c r="P6" i="32"/>
  <c r="AQ5" i="32"/>
  <c r="AS5" i="32" s="1"/>
  <c r="W5" i="32"/>
  <c r="R5" i="32"/>
  <c r="Q5" i="32"/>
  <c r="P5" i="32"/>
  <c r="AQ4" i="32"/>
  <c r="AS4" i="32" s="1"/>
  <c r="W4" i="32"/>
  <c r="R4" i="32"/>
  <c r="Q4" i="32"/>
  <c r="P4" i="32"/>
  <c r="AQ98" i="31"/>
  <c r="AS98" i="31" s="1"/>
  <c r="AQ97" i="31"/>
  <c r="AS97" i="31" s="1"/>
  <c r="AQ90" i="31"/>
  <c r="AS90" i="31" s="1"/>
  <c r="AQ89" i="31"/>
  <c r="AS89" i="31" s="1"/>
  <c r="AQ81" i="31"/>
  <c r="AS81" i="31" s="1"/>
  <c r="AQ75" i="31"/>
  <c r="AS75" i="31" s="1"/>
  <c r="AQ73" i="31"/>
  <c r="AS73" i="31" s="1"/>
  <c r="AQ67" i="31"/>
  <c r="AS67" i="31" s="1"/>
  <c r="AQ66" i="31"/>
  <c r="AS66" i="31" s="1"/>
  <c r="AQ65" i="31"/>
  <c r="AS65" i="31" s="1"/>
  <c r="AQ58" i="31"/>
  <c r="AS58" i="31" s="1"/>
  <c r="AQ57" i="31"/>
  <c r="AS57" i="31" s="1"/>
  <c r="AD52" i="31"/>
  <c r="AD50" i="31"/>
  <c r="AQ38" i="31"/>
  <c r="AS38" i="31" s="1"/>
  <c r="AQ36" i="31"/>
  <c r="AS36" i="31" s="1"/>
  <c r="AD32" i="31"/>
  <c r="AQ28" i="31"/>
  <c r="AS28" i="31" s="1"/>
  <c r="AD25" i="31"/>
  <c r="AQ6" i="31"/>
  <c r="AS6" i="31" s="1"/>
  <c r="AQ12" i="31"/>
  <c r="AS12" i="31" s="1"/>
  <c r="AQ4" i="31"/>
  <c r="AN164" i="31"/>
  <c r="AM164" i="31"/>
  <c r="AL164" i="31"/>
  <c r="AK164" i="31"/>
  <c r="AJ164" i="31"/>
  <c r="AI164" i="31"/>
  <c r="AH164" i="31"/>
  <c r="AG164" i="31"/>
  <c r="AF164" i="31"/>
  <c r="AE164" i="31"/>
  <c r="AD164" i="31"/>
  <c r="AC164" i="31"/>
  <c r="AA164" i="31"/>
  <c r="AQ163" i="31"/>
  <c r="AS163" i="31" s="1"/>
  <c r="AQ162" i="31"/>
  <c r="AS162" i="31" s="1"/>
  <c r="AQ161" i="31"/>
  <c r="AS161" i="31" s="1"/>
  <c r="AO161" i="31"/>
  <c r="AO164" i="31" s="1"/>
  <c r="AS160" i="31"/>
  <c r="AQ160" i="31"/>
  <c r="AQ159" i="31"/>
  <c r="AS159" i="31" s="1"/>
  <c r="AQ158" i="31"/>
  <c r="AS158" i="31" s="1"/>
  <c r="AS157" i="31"/>
  <c r="AQ157" i="31"/>
  <c r="AS156" i="31"/>
  <c r="AQ155" i="31"/>
  <c r="AS155" i="31" s="1"/>
  <c r="U155" i="31"/>
  <c r="W155" i="31" s="1"/>
  <c r="Q155" i="31"/>
  <c r="O155" i="31"/>
  <c r="R155" i="31" s="1"/>
  <c r="AS154" i="31"/>
  <c r="AQ154" i="31"/>
  <c r="AQ153" i="31"/>
  <c r="AS153" i="31" s="1"/>
  <c r="AS152" i="31"/>
  <c r="AQ152" i="31"/>
  <c r="AS151" i="31"/>
  <c r="AQ151" i="31"/>
  <c r="AS150" i="31"/>
  <c r="AQ150" i="31"/>
  <c r="AQ149" i="31"/>
  <c r="AS149" i="31" s="1"/>
  <c r="AS148" i="31"/>
  <c r="AQ148" i="31"/>
  <c r="AS147" i="31"/>
  <c r="AQ147" i="31"/>
  <c r="AS146" i="31"/>
  <c r="AQ146" i="31"/>
  <c r="AQ145" i="31"/>
  <c r="AS145" i="31" s="1"/>
  <c r="AS144" i="31"/>
  <c r="AQ144" i="31"/>
  <c r="AS143" i="31"/>
  <c r="AQ143" i="31"/>
  <c r="AS142" i="31"/>
  <c r="AQ142" i="31"/>
  <c r="AQ141" i="31"/>
  <c r="AS141" i="31" s="1"/>
  <c r="AS140" i="31"/>
  <c r="AQ140" i="31"/>
  <c r="AS139" i="31"/>
  <c r="AQ139" i="31"/>
  <c r="AS138" i="31"/>
  <c r="AQ138" i="31"/>
  <c r="AQ137" i="31"/>
  <c r="AS137" i="31" s="1"/>
  <c r="AS136" i="31"/>
  <c r="AQ136" i="31"/>
  <c r="AS135" i="31"/>
  <c r="AQ135" i="31"/>
  <c r="AS134" i="31"/>
  <c r="AQ134" i="31"/>
  <c r="AQ133" i="31"/>
  <c r="AS133" i="31" s="1"/>
  <c r="AS132" i="31"/>
  <c r="AC129" i="31"/>
  <c r="AC116" i="31"/>
  <c r="AO113" i="31"/>
  <c r="AO114" i="31" s="1"/>
  <c r="AO115" i="31" s="1"/>
  <c r="AO116" i="31" s="1"/>
  <c r="AO117" i="31" s="1"/>
  <c r="AO118" i="31" s="1"/>
  <c r="AO119" i="31" s="1"/>
  <c r="AO120" i="31" s="1"/>
  <c r="AO121" i="31" s="1"/>
  <c r="AO122" i="31" s="1"/>
  <c r="AO112" i="31"/>
  <c r="AC112" i="31"/>
  <c r="AN109" i="31"/>
  <c r="AM109" i="31"/>
  <c r="AL109" i="31"/>
  <c r="AK109" i="31"/>
  <c r="AJ109" i="31"/>
  <c r="AI109" i="31"/>
  <c r="AH109" i="31"/>
  <c r="AG109" i="31"/>
  <c r="AF109" i="31"/>
  <c r="AS106" i="31"/>
  <c r="AN105" i="31"/>
  <c r="AK105" i="31"/>
  <c r="AJ105" i="31"/>
  <c r="AI105" i="31"/>
  <c r="AH105" i="31"/>
  <c r="AG105" i="31"/>
  <c r="AF105" i="31"/>
  <c r="AE105" i="31"/>
  <c r="AC105" i="31"/>
  <c r="AB105" i="31"/>
  <c r="AB107" i="31" s="1"/>
  <c r="AA105" i="31"/>
  <c r="AQ104" i="31"/>
  <c r="AS104" i="31" s="1"/>
  <c r="AQ103" i="31"/>
  <c r="AS103" i="31" s="1"/>
  <c r="AQ102" i="31"/>
  <c r="AS102" i="31" s="1"/>
  <c r="P102" i="31"/>
  <c r="AQ101" i="31"/>
  <c r="AS101" i="31" s="1"/>
  <c r="P101" i="31"/>
  <c r="AQ100" i="31"/>
  <c r="AS100" i="31" s="1"/>
  <c r="P100" i="31"/>
  <c r="AQ99" i="31"/>
  <c r="AS99" i="31" s="1"/>
  <c r="P99" i="31"/>
  <c r="P98" i="31"/>
  <c r="R97" i="31"/>
  <c r="Q97" i="31"/>
  <c r="P97" i="31"/>
  <c r="AQ96" i="31"/>
  <c r="AS96" i="31" s="1"/>
  <c r="R96" i="31"/>
  <c r="Q96" i="31"/>
  <c r="P96" i="31"/>
  <c r="AQ95" i="31"/>
  <c r="AS95" i="31" s="1"/>
  <c r="Q95" i="31"/>
  <c r="M95" i="31"/>
  <c r="O95" i="31" s="1"/>
  <c r="AQ94" i="31"/>
  <c r="AS94" i="31" s="1"/>
  <c r="R94" i="31"/>
  <c r="Q94" i="31"/>
  <c r="P94" i="31"/>
  <c r="O94" i="31"/>
  <c r="T94" i="31" s="1"/>
  <c r="U94" i="31" s="1"/>
  <c r="W94" i="31" s="1"/>
  <c r="AQ93" i="31"/>
  <c r="AS93" i="31" s="1"/>
  <c r="T93" i="31"/>
  <c r="U93" i="31" s="1"/>
  <c r="W93" i="31" s="1"/>
  <c r="R93" i="31"/>
  <c r="Q93" i="31"/>
  <c r="P93" i="31"/>
  <c r="O93" i="31"/>
  <c r="AQ92" i="31"/>
  <c r="AS92" i="31" s="1"/>
  <c r="U92" i="31"/>
  <c r="W92" i="31" s="1"/>
  <c r="T92" i="31"/>
  <c r="R92" i="31"/>
  <c r="Q92" i="31"/>
  <c r="P92" i="31"/>
  <c r="AQ91" i="31"/>
  <c r="AS91" i="31" s="1"/>
  <c r="U91" i="31"/>
  <c r="W91" i="31" s="1"/>
  <c r="T91" i="31"/>
  <c r="R91" i="31"/>
  <c r="Q91" i="31"/>
  <c r="P91" i="31"/>
  <c r="O91" i="31"/>
  <c r="T90" i="31"/>
  <c r="U90" i="31" s="1"/>
  <c r="W90" i="31" s="1"/>
  <c r="R90" i="31"/>
  <c r="Q90" i="31"/>
  <c r="O90" i="31"/>
  <c r="P90" i="31" s="1"/>
  <c r="U89" i="31"/>
  <c r="W89" i="31" s="1"/>
  <c r="R89" i="31"/>
  <c r="Q89" i="31"/>
  <c r="O89" i="31"/>
  <c r="P89" i="31" s="1"/>
  <c r="AQ88" i="31"/>
  <c r="AS88" i="31" s="1"/>
  <c r="AM88" i="31"/>
  <c r="AM105" i="31" s="1"/>
  <c r="W88" i="31"/>
  <c r="U88" i="31"/>
  <c r="R88" i="31"/>
  <c r="Q88" i="31"/>
  <c r="P88" i="31"/>
  <c r="O88" i="31"/>
  <c r="AL87" i="31"/>
  <c r="AL105" i="31" s="1"/>
  <c r="U87" i="31"/>
  <c r="W87" i="31" s="1"/>
  <c r="R87" i="31"/>
  <c r="Q87" i="31"/>
  <c r="P87" i="31"/>
  <c r="AQ86" i="31"/>
  <c r="AS86" i="31" s="1"/>
  <c r="R86" i="31"/>
  <c r="Q86" i="31"/>
  <c r="P86" i="31"/>
  <c r="AQ85" i="31"/>
  <c r="AS85" i="31" s="1"/>
  <c r="R85" i="31"/>
  <c r="Q85" i="31"/>
  <c r="P85" i="31"/>
  <c r="AO84" i="31"/>
  <c r="AQ84" i="31" s="1"/>
  <c r="AS84" i="31" s="1"/>
  <c r="R84" i="31"/>
  <c r="Q84" i="31"/>
  <c r="P84" i="31"/>
  <c r="O84" i="31"/>
  <c r="T84" i="31" s="1"/>
  <c r="U84" i="31" s="1"/>
  <c r="W84" i="31" s="1"/>
  <c r="AS83" i="31"/>
  <c r="P83" i="31"/>
  <c r="AQ82" i="31"/>
  <c r="AS82" i="31" s="1"/>
  <c r="T82" i="31"/>
  <c r="U82" i="31" s="1"/>
  <c r="W82" i="31" s="1"/>
  <c r="R82" i="31"/>
  <c r="Q82" i="31"/>
  <c r="O82" i="31"/>
  <c r="P82" i="31" s="1"/>
  <c r="U81" i="31"/>
  <c r="W81" i="31" s="1"/>
  <c r="T81" i="31"/>
  <c r="R81" i="31"/>
  <c r="Q81" i="31"/>
  <c r="O81" i="31"/>
  <c r="P81" i="31" s="1"/>
  <c r="AQ80" i="31"/>
  <c r="AS80" i="31" s="1"/>
  <c r="Q80" i="31"/>
  <c r="O80" i="31"/>
  <c r="T80" i="31" s="1"/>
  <c r="U80" i="31" s="1"/>
  <c r="W80" i="31" s="1"/>
  <c r="AQ79" i="31"/>
  <c r="AS79" i="31" s="1"/>
  <c r="U79" i="31"/>
  <c r="W79" i="31" s="1"/>
  <c r="T79" i="31"/>
  <c r="R79" i="31"/>
  <c r="Q79" i="31"/>
  <c r="P79" i="31"/>
  <c r="AQ78" i="31"/>
  <c r="AS78" i="31" s="1"/>
  <c r="R78" i="31"/>
  <c r="Q78" i="31"/>
  <c r="P78" i="31"/>
  <c r="O78" i="31"/>
  <c r="T78" i="31" s="1"/>
  <c r="U78" i="31" s="1"/>
  <c r="W78" i="31" s="1"/>
  <c r="AQ77" i="31"/>
  <c r="AS77" i="31" s="1"/>
  <c r="Q77" i="31"/>
  <c r="O77" i="31"/>
  <c r="T77" i="31" s="1"/>
  <c r="U77" i="31" s="1"/>
  <c r="W77" i="31" s="1"/>
  <c r="AQ76" i="31"/>
  <c r="AS76" i="31" s="1"/>
  <c r="R76" i="31"/>
  <c r="Q76" i="31"/>
  <c r="P76" i="31"/>
  <c r="O76" i="31"/>
  <c r="T76" i="31" s="1"/>
  <c r="U76" i="31" s="1"/>
  <c r="W76" i="31" s="1"/>
  <c r="T75" i="31"/>
  <c r="U75" i="31" s="1"/>
  <c r="W75" i="31" s="1"/>
  <c r="Q75" i="31"/>
  <c r="O75" i="31"/>
  <c r="P75" i="31" s="1"/>
  <c r="AQ74" i="31"/>
  <c r="AS74" i="31" s="1"/>
  <c r="R74" i="31"/>
  <c r="Q74" i="31"/>
  <c r="P74" i="31"/>
  <c r="O74" i="31"/>
  <c r="T74" i="31" s="1"/>
  <c r="U74" i="31" s="1"/>
  <c r="W74" i="31" s="1"/>
  <c r="R73" i="31"/>
  <c r="Q73" i="31"/>
  <c r="P73" i="31"/>
  <c r="AQ72" i="31"/>
  <c r="AS72" i="31" s="1"/>
  <c r="U72" i="31"/>
  <c r="W72" i="31" s="1"/>
  <c r="R72" i="31"/>
  <c r="Q72" i="31"/>
  <c r="P72" i="31"/>
  <c r="AQ71" i="31"/>
  <c r="AS71" i="31" s="1"/>
  <c r="Q71" i="31"/>
  <c r="O71" i="31"/>
  <c r="T71" i="31" s="1"/>
  <c r="U71" i="31" s="1"/>
  <c r="W71" i="31" s="1"/>
  <c r="AQ70" i="31"/>
  <c r="AS70" i="31" s="1"/>
  <c r="U70" i="31"/>
  <c r="W70" i="31" s="1"/>
  <c r="T70" i="31"/>
  <c r="R70" i="31"/>
  <c r="Q70" i="31"/>
  <c r="P70" i="31"/>
  <c r="AQ69" i="31"/>
  <c r="AS69" i="31" s="1"/>
  <c r="U69" i="31"/>
  <c r="W69" i="31" s="1"/>
  <c r="T69" i="31"/>
  <c r="R69" i="31"/>
  <c r="Q69" i="31"/>
  <c r="P69" i="31"/>
  <c r="AQ68" i="31"/>
  <c r="AS68" i="31" s="1"/>
  <c r="W68" i="31"/>
  <c r="R68" i="31"/>
  <c r="Q68" i="31"/>
  <c r="P68" i="31"/>
  <c r="R67" i="31"/>
  <c r="Q67" i="31"/>
  <c r="P67" i="31"/>
  <c r="O67" i="31"/>
  <c r="T67" i="31" s="1"/>
  <c r="U67" i="31" s="1"/>
  <c r="W67" i="31" s="1"/>
  <c r="W66" i="31"/>
  <c r="T66" i="31"/>
  <c r="R66" i="31"/>
  <c r="Q66" i="31"/>
  <c r="P66" i="31"/>
  <c r="U65" i="31"/>
  <c r="W65" i="31" s="1"/>
  <c r="Q65" i="31"/>
  <c r="O65" i="31"/>
  <c r="R65" i="31" s="1"/>
  <c r="AQ64" i="31"/>
  <c r="AS64" i="31" s="1"/>
  <c r="U64" i="31"/>
  <c r="W64" i="31" s="1"/>
  <c r="Q64" i="31"/>
  <c r="O64" i="31"/>
  <c r="R64" i="31" s="1"/>
  <c r="AQ63" i="31"/>
  <c r="AS63" i="31" s="1"/>
  <c r="R63" i="31"/>
  <c r="Q63" i="31"/>
  <c r="P63" i="31"/>
  <c r="O63" i="31"/>
  <c r="T63" i="31" s="1"/>
  <c r="U63" i="31" s="1"/>
  <c r="W63" i="31" s="1"/>
  <c r="AQ62" i="31"/>
  <c r="AS62" i="31" s="1"/>
  <c r="R62" i="31"/>
  <c r="O62" i="31"/>
  <c r="P62" i="31" s="1"/>
  <c r="AQ61" i="31"/>
  <c r="AS61" i="31" s="1"/>
  <c r="P61" i="31"/>
  <c r="O61" i="31"/>
  <c r="R61" i="31" s="1"/>
  <c r="AQ60" i="31"/>
  <c r="AS60" i="31" s="1"/>
  <c r="O60" i="31"/>
  <c r="R60" i="31" s="1"/>
  <c r="AQ59" i="31"/>
  <c r="AS59" i="31" s="1"/>
  <c r="U59" i="31"/>
  <c r="W59" i="31" s="1"/>
  <c r="Q59" i="31"/>
  <c r="O59" i="31"/>
  <c r="R59" i="31" s="1"/>
  <c r="U58" i="31"/>
  <c r="W58" i="31" s="1"/>
  <c r="Q58" i="31"/>
  <c r="O58" i="31"/>
  <c r="R58" i="31" s="1"/>
  <c r="R57" i="31"/>
  <c r="Q57" i="31"/>
  <c r="P57" i="31"/>
  <c r="O57" i="31"/>
  <c r="T57" i="31" s="1"/>
  <c r="U57" i="31" s="1"/>
  <c r="W57" i="31" s="1"/>
  <c r="AQ56" i="31"/>
  <c r="AS56" i="31" s="1"/>
  <c r="W56" i="31"/>
  <c r="U56" i="31"/>
  <c r="R56" i="31"/>
  <c r="Q56" i="31"/>
  <c r="P56" i="31"/>
  <c r="O56" i="31"/>
  <c r="AS55" i="31"/>
  <c r="AQ55" i="31"/>
  <c r="W55" i="31"/>
  <c r="U55" i="31"/>
  <c r="R55" i="31"/>
  <c r="Q55" i="31"/>
  <c r="P55" i="31"/>
  <c r="O55" i="31"/>
  <c r="AS54" i="31"/>
  <c r="AQ54" i="31"/>
  <c r="W54" i="31"/>
  <c r="U54" i="31"/>
  <c r="R54" i="31"/>
  <c r="Q54" i="31"/>
  <c r="P54" i="31"/>
  <c r="O54" i="31"/>
  <c r="AS53" i="31"/>
  <c r="AQ53" i="31"/>
  <c r="Q53" i="31"/>
  <c r="O53" i="31"/>
  <c r="T53" i="31" s="1"/>
  <c r="U53" i="31" s="1"/>
  <c r="W53" i="31" s="1"/>
  <c r="R52" i="31"/>
  <c r="Q52" i="31"/>
  <c r="P52" i="31"/>
  <c r="O52" i="31"/>
  <c r="T52" i="31" s="1"/>
  <c r="U52" i="31" s="1"/>
  <c r="W52" i="31" s="1"/>
  <c r="AS51" i="31"/>
  <c r="AO50" i="31"/>
  <c r="AN50" i="31"/>
  <c r="AM50" i="31"/>
  <c r="AL50" i="31"/>
  <c r="AK50" i="31"/>
  <c r="AJ50" i="31"/>
  <c r="AI50" i="31"/>
  <c r="AH50" i="31"/>
  <c r="AG50" i="31"/>
  <c r="AF50" i="31"/>
  <c r="AE50" i="31"/>
  <c r="AC50" i="31"/>
  <c r="AB50" i="31"/>
  <c r="AA50" i="31"/>
  <c r="AQ49" i="31"/>
  <c r="AS49" i="31" s="1"/>
  <c r="AQ48" i="31"/>
  <c r="AS48" i="31" s="1"/>
  <c r="W48" i="31"/>
  <c r="U48" i="31"/>
  <c r="R48" i="31"/>
  <c r="Q48" i="31"/>
  <c r="P48" i="31"/>
  <c r="AQ47" i="31"/>
  <c r="AS47" i="31" s="1"/>
  <c r="U47" i="31"/>
  <c r="W47" i="31" s="1"/>
  <c r="R47" i="31"/>
  <c r="Q47" i="31"/>
  <c r="P47" i="31"/>
  <c r="AQ46" i="31"/>
  <c r="AS46" i="31" s="1"/>
  <c r="W46" i="31"/>
  <c r="R46" i="31"/>
  <c r="Q46" i="31"/>
  <c r="P46" i="31"/>
  <c r="AQ45" i="31"/>
  <c r="AS45" i="31" s="1"/>
  <c r="T45" i="31"/>
  <c r="U45" i="31" s="1"/>
  <c r="W45" i="31" s="1"/>
  <c r="R45" i="31"/>
  <c r="Q45" i="31"/>
  <c r="P45" i="31"/>
  <c r="AQ44" i="31"/>
  <c r="AS44" i="31" s="1"/>
  <c r="W44" i="31"/>
  <c r="R44" i="31"/>
  <c r="Q44" i="31"/>
  <c r="P44" i="31"/>
  <c r="AQ43" i="31"/>
  <c r="W43" i="31"/>
  <c r="R43" i="31"/>
  <c r="Q43" i="31"/>
  <c r="P43" i="31"/>
  <c r="W42" i="31"/>
  <c r="R42" i="31"/>
  <c r="Q42" i="31"/>
  <c r="P42" i="31"/>
  <c r="AS41" i="31"/>
  <c r="AO40" i="31"/>
  <c r="AN40" i="31"/>
  <c r="AM40" i="31"/>
  <c r="AL40" i="31"/>
  <c r="AK40" i="31"/>
  <c r="AJ40" i="31"/>
  <c r="AI40" i="31"/>
  <c r="AH40" i="31"/>
  <c r="AG40" i="31"/>
  <c r="AF40" i="31"/>
  <c r="AE40" i="31"/>
  <c r="AC40" i="31"/>
  <c r="AB40" i="31"/>
  <c r="AA40" i="31"/>
  <c r="AQ39" i="31"/>
  <c r="AS39" i="31" s="1"/>
  <c r="T39" i="31"/>
  <c r="U39" i="31" s="1"/>
  <c r="W39" i="31" s="1"/>
  <c r="R39" i="31"/>
  <c r="Q39" i="31"/>
  <c r="P39" i="31"/>
  <c r="T38" i="31"/>
  <c r="U38" i="31" s="1"/>
  <c r="W38" i="31" s="1"/>
  <c r="R38" i="31"/>
  <c r="Q38" i="31"/>
  <c r="P38" i="31"/>
  <c r="AQ37" i="31"/>
  <c r="AS37" i="31" s="1"/>
  <c r="W37" i="31"/>
  <c r="R37" i="31"/>
  <c r="Q37" i="31"/>
  <c r="P37" i="31"/>
  <c r="W36" i="31"/>
  <c r="AQ35" i="31"/>
  <c r="AS35" i="31" s="1"/>
  <c r="W35" i="31"/>
  <c r="R35" i="31"/>
  <c r="Q35" i="31"/>
  <c r="P35" i="31"/>
  <c r="AQ34" i="31"/>
  <c r="W34" i="31"/>
  <c r="R34" i="31"/>
  <c r="Q34" i="31"/>
  <c r="P34" i="31"/>
  <c r="AS33" i="31"/>
  <c r="AO32" i="31"/>
  <c r="AN32" i="31"/>
  <c r="AM32" i="31"/>
  <c r="AL32" i="31"/>
  <c r="AK32" i="31"/>
  <c r="AJ32" i="31"/>
  <c r="AI32" i="31"/>
  <c r="AH32" i="31"/>
  <c r="AG32" i="31"/>
  <c r="AF32" i="31"/>
  <c r="AE32" i="31"/>
  <c r="AC32" i="31"/>
  <c r="AB32" i="31"/>
  <c r="AA32" i="31"/>
  <c r="AQ31" i="31"/>
  <c r="AQ32" i="31" s="1"/>
  <c r="AS32" i="31" s="1"/>
  <c r="W31" i="31"/>
  <c r="R31" i="31"/>
  <c r="Q31" i="31"/>
  <c r="P31" i="31"/>
  <c r="AS30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W28" i="31"/>
  <c r="R28" i="31"/>
  <c r="Q28" i="31"/>
  <c r="P28" i="31"/>
  <c r="AQ27" i="31"/>
  <c r="AS27" i="31" s="1"/>
  <c r="W27" i="31"/>
  <c r="R27" i="31"/>
  <c r="Q27" i="31"/>
  <c r="P27" i="31"/>
  <c r="AS26" i="31"/>
  <c r="AO25" i="31"/>
  <c r="AN25" i="31"/>
  <c r="AM25" i="31"/>
  <c r="AL25" i="31"/>
  <c r="AK25" i="31"/>
  <c r="AJ25" i="31"/>
  <c r="AI25" i="31"/>
  <c r="AH25" i="31"/>
  <c r="AG25" i="31"/>
  <c r="AF25" i="31"/>
  <c r="AE25" i="31"/>
  <c r="AC25" i="31"/>
  <c r="AB25" i="31"/>
  <c r="AA25" i="31"/>
  <c r="AQ24" i="31"/>
  <c r="AS24" i="31" s="1"/>
  <c r="W24" i="31"/>
  <c r="R24" i="31"/>
  <c r="Q24" i="31"/>
  <c r="P24" i="31"/>
  <c r="AQ23" i="31"/>
  <c r="AS23" i="31" s="1"/>
  <c r="AQ22" i="31"/>
  <c r="AS22" i="31" s="1"/>
  <c r="W22" i="31"/>
  <c r="R22" i="31"/>
  <c r="Q22" i="31"/>
  <c r="P22" i="31"/>
  <c r="AQ21" i="31"/>
  <c r="AS21" i="31" s="1"/>
  <c r="W21" i="31"/>
  <c r="R21" i="31"/>
  <c r="Q21" i="31"/>
  <c r="P21" i="31"/>
  <c r="AQ20" i="31"/>
  <c r="AS20" i="31" s="1"/>
  <c r="W20" i="31"/>
  <c r="R20" i="31"/>
  <c r="Q20" i="31"/>
  <c r="P20" i="31"/>
  <c r="AQ19" i="31"/>
  <c r="AS19" i="31" s="1"/>
  <c r="W19" i="31"/>
  <c r="R19" i="31"/>
  <c r="Q19" i="31"/>
  <c r="P19" i="31"/>
  <c r="AQ18" i="31"/>
  <c r="AS18" i="31" s="1"/>
  <c r="W18" i="31"/>
  <c r="R18" i="31"/>
  <c r="Q18" i="31"/>
  <c r="P18" i="31"/>
  <c r="W17" i="31"/>
  <c r="R17" i="31"/>
  <c r="Q17" i="31"/>
  <c r="P17" i="31"/>
  <c r="AQ16" i="31"/>
  <c r="W16" i="31"/>
  <c r="R16" i="31"/>
  <c r="Q16" i="31"/>
  <c r="P16" i="31"/>
  <c r="AO14" i="31"/>
  <c r="AN14" i="31"/>
  <c r="AM14" i="31"/>
  <c r="AL14" i="31"/>
  <c r="AK14" i="31"/>
  <c r="AJ14" i="31"/>
  <c r="AI14" i="31"/>
  <c r="AH14" i="31"/>
  <c r="AG14" i="31"/>
  <c r="AF14" i="31"/>
  <c r="AE14" i="31"/>
  <c r="AE107" i="31" s="1"/>
  <c r="AE109" i="31" s="1"/>
  <c r="AD14" i="31"/>
  <c r="AC14" i="31"/>
  <c r="AC107" i="31" s="1"/>
  <c r="AC109" i="31" s="1"/>
  <c r="AB14" i="31"/>
  <c r="AA14" i="31"/>
  <c r="AA107" i="31" s="1"/>
  <c r="AQ13" i="31"/>
  <c r="AS13" i="31" s="1"/>
  <c r="W13" i="31"/>
  <c r="T13" i="31"/>
  <c r="R13" i="31"/>
  <c r="Q13" i="31"/>
  <c r="P13" i="31"/>
  <c r="W12" i="31"/>
  <c r="R12" i="31"/>
  <c r="Q12" i="31"/>
  <c r="P12" i="31"/>
  <c r="AQ11" i="31"/>
  <c r="AS11" i="31" s="1"/>
  <c r="R11" i="31"/>
  <c r="Q11" i="31"/>
  <c r="P11" i="31"/>
  <c r="O11" i="31"/>
  <c r="T11" i="31" s="1"/>
  <c r="U11" i="31" s="1"/>
  <c r="W11" i="31" s="1"/>
  <c r="AQ10" i="31"/>
  <c r="AS10" i="31" s="1"/>
  <c r="W10" i="31"/>
  <c r="R10" i="31"/>
  <c r="Q10" i="31"/>
  <c r="P10" i="31"/>
  <c r="AQ9" i="31"/>
  <c r="AS9" i="31" s="1"/>
  <c r="W9" i="31"/>
  <c r="R9" i="31"/>
  <c r="Q9" i="31"/>
  <c r="P9" i="31"/>
  <c r="AQ8" i="31"/>
  <c r="AS8" i="31" s="1"/>
  <c r="W8" i="31"/>
  <c r="R8" i="31"/>
  <c r="Q8" i="31"/>
  <c r="P8" i="31"/>
  <c r="AQ7" i="31"/>
  <c r="AS7" i="31" s="1"/>
  <c r="W7" i="31"/>
  <c r="R7" i="31"/>
  <c r="Q7" i="31"/>
  <c r="P7" i="31"/>
  <c r="W6" i="31"/>
  <c r="R6" i="31"/>
  <c r="Q6" i="31"/>
  <c r="P6" i="31"/>
  <c r="AQ5" i="31"/>
  <c r="AS5" i="31" s="1"/>
  <c r="W5" i="31"/>
  <c r="R5" i="31"/>
  <c r="Q5" i="31"/>
  <c r="P5" i="31"/>
  <c r="W4" i="31"/>
  <c r="R4" i="31"/>
  <c r="Q4" i="31"/>
  <c r="P4" i="31"/>
  <c r="T86" i="32" l="1"/>
  <c r="U86" i="32" s="1"/>
  <c r="W86" i="32" s="1"/>
  <c r="AQ40" i="32"/>
  <c r="P32" i="32"/>
  <c r="R35" i="32"/>
  <c r="P47" i="32"/>
  <c r="R76" i="32"/>
  <c r="R47" i="32"/>
  <c r="T49" i="32"/>
  <c r="W49" i="32" s="1"/>
  <c r="R25" i="32"/>
  <c r="R32" i="32"/>
  <c r="AQ51" i="32"/>
  <c r="AQ94" i="32"/>
  <c r="AO94" i="32"/>
  <c r="P31" i="32"/>
  <c r="R31" i="32"/>
  <c r="P33" i="32"/>
  <c r="AB96" i="32"/>
  <c r="AQ59" i="32"/>
  <c r="AS59" i="32" s="1"/>
  <c r="P34" i="32"/>
  <c r="AA96" i="32"/>
  <c r="P43" i="32"/>
  <c r="AS53" i="32"/>
  <c r="P79" i="32"/>
  <c r="P86" i="32"/>
  <c r="P90" i="32"/>
  <c r="T87" i="32"/>
  <c r="U87" i="32" s="1"/>
  <c r="W87" i="32" s="1"/>
  <c r="AQ36" i="32"/>
  <c r="AS36" i="32" s="1"/>
  <c r="R34" i="32"/>
  <c r="R92" i="32"/>
  <c r="T88" i="32"/>
  <c r="U88" i="32" s="1"/>
  <c r="W88" i="32" s="1"/>
  <c r="P20" i="32"/>
  <c r="AS24" i="32"/>
  <c r="AC96" i="32"/>
  <c r="AC98" i="32" s="1"/>
  <c r="AQ71" i="32"/>
  <c r="AS71" i="32" s="1"/>
  <c r="R79" i="32"/>
  <c r="AQ22" i="32"/>
  <c r="AS22" i="32" s="1"/>
  <c r="AO96" i="32"/>
  <c r="AO98" i="32" s="1"/>
  <c r="AD96" i="32"/>
  <c r="AD98" i="32" s="1"/>
  <c r="AS40" i="32"/>
  <c r="AL77" i="32"/>
  <c r="T48" i="32"/>
  <c r="W48" i="32" s="1"/>
  <c r="R20" i="32"/>
  <c r="P25" i="32"/>
  <c r="R33" i="32"/>
  <c r="AS38" i="32"/>
  <c r="T46" i="32"/>
  <c r="U46" i="32" s="1"/>
  <c r="W46" i="32" s="1"/>
  <c r="P35" i="32"/>
  <c r="W92" i="32"/>
  <c r="U91" i="32"/>
  <c r="W91" i="32" s="1"/>
  <c r="U90" i="32"/>
  <c r="W90" i="32" s="1"/>
  <c r="U89" i="32"/>
  <c r="W89" i="32" s="1"/>
  <c r="AE96" i="32"/>
  <c r="AE98" i="32" s="1"/>
  <c r="AQ156" i="32"/>
  <c r="AS156" i="32" s="1"/>
  <c r="AS7" i="32"/>
  <c r="P16" i="32"/>
  <c r="P18" i="32"/>
  <c r="AS25" i="32"/>
  <c r="R44" i="32"/>
  <c r="P46" i="32"/>
  <c r="P61" i="32"/>
  <c r="R70" i="32"/>
  <c r="R80" i="32"/>
  <c r="R81" i="32"/>
  <c r="R82" i="32"/>
  <c r="P87" i="32"/>
  <c r="P88" i="32"/>
  <c r="P89" i="32"/>
  <c r="AS51" i="32"/>
  <c r="T82" i="32"/>
  <c r="U82" i="32" s="1"/>
  <c r="W82" i="32" s="1"/>
  <c r="R16" i="32"/>
  <c r="R18" i="32"/>
  <c r="P48" i="32"/>
  <c r="P49" i="32"/>
  <c r="P72" i="32"/>
  <c r="P73" i="32"/>
  <c r="P84" i="32"/>
  <c r="M85" i="32"/>
  <c r="O85" i="32" s="1"/>
  <c r="R89" i="32"/>
  <c r="P91" i="32"/>
  <c r="R90" i="32"/>
  <c r="P92" i="32"/>
  <c r="R91" i="32"/>
  <c r="AQ151" i="32"/>
  <c r="AS151" i="32" s="1"/>
  <c r="AD105" i="31"/>
  <c r="AQ52" i="31"/>
  <c r="AS52" i="31" s="1"/>
  <c r="AS43" i="31"/>
  <c r="AQ42" i="31"/>
  <c r="AS42" i="31" s="1"/>
  <c r="AD40" i="31"/>
  <c r="AQ40" i="31"/>
  <c r="AS40" i="31" s="1"/>
  <c r="AQ17" i="31"/>
  <c r="AS17" i="31" s="1"/>
  <c r="AD107" i="31"/>
  <c r="AD109" i="31" s="1"/>
  <c r="AQ25" i="31"/>
  <c r="AS25" i="31" s="1"/>
  <c r="AS4" i="31"/>
  <c r="AQ14" i="31"/>
  <c r="AS14" i="31" s="1"/>
  <c r="AQ164" i="31"/>
  <c r="AS164" i="31" s="1"/>
  <c r="T95" i="31"/>
  <c r="U95" i="31" s="1"/>
  <c r="W95" i="31" s="1"/>
  <c r="P95" i="31"/>
  <c r="R95" i="31"/>
  <c r="AS16" i="31"/>
  <c r="P53" i="31"/>
  <c r="P71" i="31"/>
  <c r="R75" i="31"/>
  <c r="P77" i="31"/>
  <c r="AQ87" i="31"/>
  <c r="AS87" i="31" s="1"/>
  <c r="AQ29" i="31"/>
  <c r="AS29" i="31" s="1"/>
  <c r="AS31" i="31"/>
  <c r="AS34" i="31"/>
  <c r="R53" i="31"/>
  <c r="P58" i="31"/>
  <c r="P59" i="31"/>
  <c r="P60" i="31"/>
  <c r="P64" i="31"/>
  <c r="P65" i="31"/>
  <c r="R71" i="31"/>
  <c r="R77" i="31"/>
  <c r="P80" i="31"/>
  <c r="R80" i="31"/>
  <c r="AO105" i="31"/>
  <c r="AO107" i="31" s="1"/>
  <c r="AO109" i="31" s="1"/>
  <c r="AQ105" i="31"/>
  <c r="AS105" i="31" s="1"/>
  <c r="AQ77" i="32" l="1"/>
  <c r="AS77" i="32" s="1"/>
  <c r="AS94" i="32"/>
  <c r="R85" i="32"/>
  <c r="P85" i="32"/>
  <c r="T85" i="32"/>
  <c r="U85" i="32" s="1"/>
  <c r="W85" i="32" s="1"/>
  <c r="AQ50" i="31"/>
  <c r="AS50" i="31" s="1"/>
  <c r="AQ107" i="31"/>
  <c r="AS107" i="31" s="1"/>
  <c r="AQ96" i="32" l="1"/>
  <c r="AS96" i="32" s="1"/>
  <c r="AP86" i="29"/>
  <c r="AR86" i="29" s="1"/>
  <c r="AP83" i="29"/>
  <c r="AR83" i="29" s="1"/>
  <c r="AP70" i="29"/>
  <c r="AR70" i="29" s="1"/>
  <c r="AP62" i="29"/>
  <c r="AR62" i="29" s="1"/>
  <c r="AP61" i="29"/>
  <c r="AR61" i="29" s="1"/>
  <c r="AD59" i="29"/>
  <c r="AP45" i="29"/>
  <c r="AR45" i="29" s="1"/>
  <c r="AP43" i="29"/>
  <c r="AR43" i="29" s="1"/>
  <c r="AP42" i="29"/>
  <c r="AR42" i="29" s="1"/>
  <c r="AP39" i="29"/>
  <c r="AR39" i="29" s="1"/>
  <c r="AD40" i="29"/>
  <c r="AP30" i="29"/>
  <c r="AR30" i="29" s="1"/>
  <c r="AD36" i="29"/>
  <c r="AP15" i="29"/>
  <c r="AR15" i="29" s="1"/>
  <c r="AP14" i="29"/>
  <c r="AR14" i="29" s="1"/>
  <c r="AP6" i="29"/>
  <c r="AR6" i="29" s="1"/>
  <c r="AM155" i="29"/>
  <c r="AL155" i="29"/>
  <c r="AK155" i="29"/>
  <c r="AJ155" i="29"/>
  <c r="AI155" i="29"/>
  <c r="AH155" i="29"/>
  <c r="AG155" i="29"/>
  <c r="AF155" i="29"/>
  <c r="AE155" i="29"/>
  <c r="AD155" i="29"/>
  <c r="AC155" i="29"/>
  <c r="AB155" i="29"/>
  <c r="Z155" i="29"/>
  <c r="AR154" i="29"/>
  <c r="AP154" i="29"/>
  <c r="Q154" i="29"/>
  <c r="P154" i="29"/>
  <c r="O154" i="29"/>
  <c r="AR153" i="29"/>
  <c r="AP153" i="29"/>
  <c r="AR152" i="29"/>
  <c r="AP152" i="29"/>
  <c r="AP151" i="29"/>
  <c r="AR151" i="29" s="1"/>
  <c r="AN151" i="29"/>
  <c r="AN155" i="29" s="1"/>
  <c r="AP150" i="29"/>
  <c r="AR150" i="29" s="1"/>
  <c r="AP149" i="29"/>
  <c r="AR149" i="29" s="1"/>
  <c r="AR148" i="29"/>
  <c r="AP148" i="29"/>
  <c r="P148" i="29"/>
  <c r="O148" i="29"/>
  <c r="N148" i="29"/>
  <c r="S148" i="29" s="1"/>
  <c r="T148" i="29" s="1"/>
  <c r="V148" i="29" s="1"/>
  <c r="AP147" i="29"/>
  <c r="AR147" i="29" s="1"/>
  <c r="AR146" i="29"/>
  <c r="AP146" i="29"/>
  <c r="AR145" i="29"/>
  <c r="AP144" i="29"/>
  <c r="AR144" i="29" s="1"/>
  <c r="V144" i="29"/>
  <c r="T144" i="29"/>
  <c r="Q144" i="29"/>
  <c r="P144" i="29"/>
  <c r="N144" i="29"/>
  <c r="AR143" i="29"/>
  <c r="AP143" i="29"/>
  <c r="AR142" i="29"/>
  <c r="AP142" i="29"/>
  <c r="AP141" i="29"/>
  <c r="AR141" i="29" s="1"/>
  <c r="AR140" i="29"/>
  <c r="AP140" i="29"/>
  <c r="AR139" i="29"/>
  <c r="AP139" i="29"/>
  <c r="AR138" i="29"/>
  <c r="AP138" i="29"/>
  <c r="AP137" i="29"/>
  <c r="AR137" i="29" s="1"/>
  <c r="AR136" i="29"/>
  <c r="AP136" i="29"/>
  <c r="AR135" i="29"/>
  <c r="AP135" i="29"/>
  <c r="AR134" i="29"/>
  <c r="AP134" i="29"/>
  <c r="AP133" i="29"/>
  <c r="AR133" i="29" s="1"/>
  <c r="AR132" i="29"/>
  <c r="AP132" i="29"/>
  <c r="AR131" i="29"/>
  <c r="AP131" i="29"/>
  <c r="AR130" i="29"/>
  <c r="AP130" i="29"/>
  <c r="AP129" i="29"/>
  <c r="AR129" i="29" s="1"/>
  <c r="AR128" i="29"/>
  <c r="AP128" i="29"/>
  <c r="AR127" i="29"/>
  <c r="AP127" i="29"/>
  <c r="AR126" i="29"/>
  <c r="AP126" i="29"/>
  <c r="AP125" i="29"/>
  <c r="AR125" i="29" s="1"/>
  <c r="AR124" i="29"/>
  <c r="AP124" i="29"/>
  <c r="AR123" i="29"/>
  <c r="AP123" i="29"/>
  <c r="AR122" i="29"/>
  <c r="AP122" i="29"/>
  <c r="AR121" i="29"/>
  <c r="AR106" i="29"/>
  <c r="AP106" i="29"/>
  <c r="Q106" i="29"/>
  <c r="P106" i="29"/>
  <c r="O106" i="29"/>
  <c r="AP105" i="29"/>
  <c r="AR105" i="29" s="1"/>
  <c r="V105" i="29"/>
  <c r="Q105" i="29"/>
  <c r="P105" i="29"/>
  <c r="O105" i="29"/>
  <c r="AP104" i="29"/>
  <c r="AR104" i="29" s="1"/>
  <c r="V104" i="29"/>
  <c r="Q104" i="29"/>
  <c r="P104" i="29"/>
  <c r="O104" i="29"/>
  <c r="AP103" i="29"/>
  <c r="AR103" i="29" s="1"/>
  <c r="V103" i="29"/>
  <c r="Q103" i="29"/>
  <c r="P103" i="29"/>
  <c r="O103" i="29"/>
  <c r="AP102" i="29"/>
  <c r="AR102" i="29" s="1"/>
  <c r="V102" i="29"/>
  <c r="Q102" i="29"/>
  <c r="P102" i="29"/>
  <c r="O102" i="29"/>
  <c r="AR101" i="29"/>
  <c r="AP101" i="29"/>
  <c r="V101" i="29"/>
  <c r="Q101" i="29"/>
  <c r="P101" i="29"/>
  <c r="O101" i="29"/>
  <c r="AR100" i="29"/>
  <c r="AM98" i="29"/>
  <c r="AL98" i="29"/>
  <c r="AK98" i="29"/>
  <c r="AJ98" i="29"/>
  <c r="AI98" i="29"/>
  <c r="AH98" i="29"/>
  <c r="AG98" i="29"/>
  <c r="AF98" i="29"/>
  <c r="AE98" i="29"/>
  <c r="AR95" i="29"/>
  <c r="AP93" i="29"/>
  <c r="AR93" i="29" s="1"/>
  <c r="V93" i="29"/>
  <c r="S93" i="29"/>
  <c r="P93" i="29"/>
  <c r="N93" i="29"/>
  <c r="Q93" i="29" s="1"/>
  <c r="AP92" i="29"/>
  <c r="AR92" i="29" s="1"/>
  <c r="P92" i="29"/>
  <c r="N92" i="29"/>
  <c r="S92" i="29" s="1"/>
  <c r="T92" i="29" s="1"/>
  <c r="V92" i="29" s="1"/>
  <c r="AP91" i="29"/>
  <c r="AR91" i="29" s="1"/>
  <c r="P91" i="29"/>
  <c r="O91" i="29"/>
  <c r="N91" i="29"/>
  <c r="S91" i="29" s="1"/>
  <c r="T91" i="29" s="1"/>
  <c r="V91" i="29" s="1"/>
  <c r="AP90" i="29"/>
  <c r="AR90" i="29" s="1"/>
  <c r="P90" i="29"/>
  <c r="N90" i="29"/>
  <c r="S90" i="29" s="1"/>
  <c r="T90" i="29" s="1"/>
  <c r="V90" i="29" s="1"/>
  <c r="AP89" i="29"/>
  <c r="AR89" i="29" s="1"/>
  <c r="V89" i="29"/>
  <c r="T89" i="29"/>
  <c r="P89" i="29"/>
  <c r="N89" i="29"/>
  <c r="Q89" i="29" s="1"/>
  <c r="AP88" i="29"/>
  <c r="AR88" i="29" s="1"/>
  <c r="V88" i="29"/>
  <c r="T88" i="29"/>
  <c r="P88" i="29"/>
  <c r="N88" i="29"/>
  <c r="Q88" i="29" s="1"/>
  <c r="AP87" i="29"/>
  <c r="AR87" i="29" s="1"/>
  <c r="P87" i="29"/>
  <c r="O87" i="29"/>
  <c r="N87" i="29"/>
  <c r="S87" i="29" s="1"/>
  <c r="T87" i="29" s="1"/>
  <c r="V87" i="29" s="1"/>
  <c r="S86" i="29"/>
  <c r="T86" i="29" s="1"/>
  <c r="V86" i="29" s="1"/>
  <c r="Q86" i="29"/>
  <c r="P86" i="29"/>
  <c r="O86" i="29"/>
  <c r="N86" i="29"/>
  <c r="M86" i="29"/>
  <c r="AP85" i="29"/>
  <c r="AR85" i="29" s="1"/>
  <c r="P85" i="29"/>
  <c r="AP84" i="29"/>
  <c r="AR84" i="29" s="1"/>
  <c r="P84" i="29"/>
  <c r="N84" i="29"/>
  <c r="S84" i="29" s="1"/>
  <c r="T84" i="29" s="1"/>
  <c r="V84" i="29" s="1"/>
  <c r="AN82" i="29"/>
  <c r="S82" i="29"/>
  <c r="T82" i="29" s="1"/>
  <c r="V82" i="29" s="1"/>
  <c r="Q82" i="29"/>
  <c r="P82" i="29"/>
  <c r="O82" i="29"/>
  <c r="N82" i="29"/>
  <c r="AP81" i="29"/>
  <c r="AR81" i="29" s="1"/>
  <c r="T81" i="29"/>
  <c r="V81" i="29" s="1"/>
  <c r="Q81" i="29"/>
  <c r="P81" i="29"/>
  <c r="O81" i="29"/>
  <c r="N81" i="29"/>
  <c r="AP80" i="29"/>
  <c r="AR80" i="29" s="1"/>
  <c r="T80" i="29"/>
  <c r="V80" i="29" s="1"/>
  <c r="Q80" i="29"/>
  <c r="P80" i="29"/>
  <c r="O80" i="29"/>
  <c r="N80" i="29"/>
  <c r="AP79" i="29"/>
  <c r="AR79" i="29" s="1"/>
  <c r="Q79" i="29"/>
  <c r="P79" i="29"/>
  <c r="N79" i="29"/>
  <c r="O79" i="29" s="1"/>
  <c r="AR78" i="29"/>
  <c r="AN77" i="29"/>
  <c r="AM77" i="29"/>
  <c r="AJ77" i="29"/>
  <c r="AI77" i="29"/>
  <c r="AH77" i="29"/>
  <c r="AG77" i="29"/>
  <c r="AF77" i="29"/>
  <c r="AE77" i="29"/>
  <c r="AC77" i="29"/>
  <c r="AB77" i="29"/>
  <c r="AA77" i="29"/>
  <c r="Z77" i="29"/>
  <c r="AP76" i="29"/>
  <c r="AR76" i="29" s="1"/>
  <c r="V76" i="29"/>
  <c r="T76" i="29"/>
  <c r="P76" i="29"/>
  <c r="N76" i="29"/>
  <c r="Q76" i="29" s="1"/>
  <c r="AP75" i="29"/>
  <c r="AR75" i="29" s="1"/>
  <c r="V75" i="29"/>
  <c r="T75" i="29"/>
  <c r="Q75" i="29"/>
  <c r="P75" i="29"/>
  <c r="O75" i="29"/>
  <c r="AP74" i="29"/>
  <c r="AR74" i="29" s="1"/>
  <c r="T74" i="29"/>
  <c r="V74" i="29" s="1"/>
  <c r="S74" i="29"/>
  <c r="P74" i="29"/>
  <c r="O74" i="29"/>
  <c r="N74" i="29"/>
  <c r="Q74" i="29" s="1"/>
  <c r="AP73" i="29"/>
  <c r="AR73" i="29" s="1"/>
  <c r="P73" i="29"/>
  <c r="N73" i="29"/>
  <c r="S73" i="29" s="1"/>
  <c r="T73" i="29" s="1"/>
  <c r="V73" i="29" s="1"/>
  <c r="AP72" i="29"/>
  <c r="AR72" i="29" s="1"/>
  <c r="V72" i="29"/>
  <c r="T72" i="29"/>
  <c r="P72" i="29"/>
  <c r="N72" i="29"/>
  <c r="Q72" i="29" s="1"/>
  <c r="AP71" i="29"/>
  <c r="AR71" i="29" s="1"/>
  <c r="AL71" i="29"/>
  <c r="AL77" i="29" s="1"/>
  <c r="T71" i="29"/>
  <c r="V71" i="29" s="1"/>
  <c r="Q71" i="29"/>
  <c r="P71" i="29"/>
  <c r="O71" i="29"/>
  <c r="N71" i="29"/>
  <c r="AK69" i="29"/>
  <c r="AK77" i="29" s="1"/>
  <c r="T69" i="29"/>
  <c r="V69" i="29" s="1"/>
  <c r="Q69" i="29"/>
  <c r="P69" i="29"/>
  <c r="O69" i="29"/>
  <c r="N69" i="29"/>
  <c r="AP68" i="29"/>
  <c r="AR68" i="29" s="1"/>
  <c r="T68" i="29"/>
  <c r="V68" i="29" s="1"/>
  <c r="Q68" i="29"/>
  <c r="P68" i="29"/>
  <c r="O68" i="29"/>
  <c r="AP67" i="29"/>
  <c r="AR67" i="29" s="1"/>
  <c r="V67" i="29"/>
  <c r="T67" i="29"/>
  <c r="Q67" i="29"/>
  <c r="P67" i="29"/>
  <c r="O67" i="29"/>
  <c r="AP66" i="29"/>
  <c r="AR66" i="29" s="1"/>
  <c r="V66" i="29"/>
  <c r="Q66" i="29"/>
  <c r="P66" i="29"/>
  <c r="O66" i="29"/>
  <c r="AP65" i="29"/>
  <c r="AR65" i="29" s="1"/>
  <c r="S65" i="29"/>
  <c r="T65" i="29" s="1"/>
  <c r="V65" i="29" s="1"/>
  <c r="Q65" i="29"/>
  <c r="P65" i="29"/>
  <c r="O65" i="29"/>
  <c r="AP64" i="29"/>
  <c r="AR64" i="29" s="1"/>
  <c r="V64" i="29"/>
  <c r="Q64" i="29"/>
  <c r="P64" i="29"/>
  <c r="O64" i="29"/>
  <c r="AP63" i="29"/>
  <c r="AR63" i="29" s="1"/>
  <c r="V63" i="29"/>
  <c r="Q63" i="29"/>
  <c r="P63" i="29"/>
  <c r="O63" i="29"/>
  <c r="V62" i="29"/>
  <c r="Q62" i="29"/>
  <c r="P62" i="29"/>
  <c r="O62" i="29"/>
  <c r="T61" i="29"/>
  <c r="V61" i="29" s="1"/>
  <c r="P61" i="29"/>
  <c r="N61" i="29"/>
  <c r="Q61" i="29" s="1"/>
  <c r="AR60" i="29"/>
  <c r="AN59" i="29"/>
  <c r="AM59" i="29"/>
  <c r="AL59" i="29"/>
  <c r="AK59" i="29"/>
  <c r="AJ59" i="29"/>
  <c r="AI59" i="29"/>
  <c r="AH59" i="29"/>
  <c r="AG59" i="29"/>
  <c r="AF59" i="29"/>
  <c r="AE59" i="29"/>
  <c r="AC59" i="29"/>
  <c r="AB59" i="29"/>
  <c r="AA59" i="29"/>
  <c r="Z59" i="29"/>
  <c r="AP58" i="29"/>
  <c r="AR58" i="29" s="1"/>
  <c r="T58" i="29"/>
  <c r="V58" i="29" s="1"/>
  <c r="Q58" i="29"/>
  <c r="P58" i="29"/>
  <c r="O58" i="29"/>
  <c r="AP57" i="29"/>
  <c r="AR57" i="29" s="1"/>
  <c r="V57" i="29"/>
  <c r="T57" i="29"/>
  <c r="Q57" i="29"/>
  <c r="P57" i="29"/>
  <c r="O57" i="29"/>
  <c r="AP56" i="29"/>
  <c r="AR56" i="29" s="1"/>
  <c r="V56" i="29"/>
  <c r="Q56" i="29"/>
  <c r="P56" i="29"/>
  <c r="O56" i="29"/>
  <c r="AP55" i="29"/>
  <c r="AR55" i="29" s="1"/>
  <c r="V55" i="29"/>
  <c r="Q55" i="29"/>
  <c r="P55" i="29"/>
  <c r="O55" i="29"/>
  <c r="T54" i="29"/>
  <c r="V54" i="29" s="1"/>
  <c r="S54" i="29"/>
  <c r="P54" i="29"/>
  <c r="O54" i="29"/>
  <c r="N54" i="29"/>
  <c r="Q54" i="29" s="1"/>
  <c r="AP53" i="29"/>
  <c r="AR53" i="29" s="1"/>
  <c r="V53" i="29"/>
  <c r="Q53" i="29"/>
  <c r="P53" i="29"/>
  <c r="O53" i="29"/>
  <c r="AR52" i="29"/>
  <c r="AN51" i="29"/>
  <c r="AM51" i="29"/>
  <c r="AM94" i="29" s="1"/>
  <c r="AL51" i="29"/>
  <c r="AK51" i="29"/>
  <c r="AJ51" i="29"/>
  <c r="AI51" i="29"/>
  <c r="AH51" i="29"/>
  <c r="AG51" i="29"/>
  <c r="AF51" i="29"/>
  <c r="AE51" i="29"/>
  <c r="AE94" i="29" s="1"/>
  <c r="AD51" i="29"/>
  <c r="AC51" i="29"/>
  <c r="AB51" i="29"/>
  <c r="AA51" i="29"/>
  <c r="Z51" i="29"/>
  <c r="AP50" i="29"/>
  <c r="AR50" i="29" s="1"/>
  <c r="AP49" i="29"/>
  <c r="AR49" i="29" s="1"/>
  <c r="V49" i="29"/>
  <c r="P49" i="29"/>
  <c r="N49" i="29"/>
  <c r="Q49" i="29" s="1"/>
  <c r="M49" i="29"/>
  <c r="AP48" i="29"/>
  <c r="AR48" i="29" s="1"/>
  <c r="V48" i="29"/>
  <c r="P48" i="29"/>
  <c r="N48" i="29"/>
  <c r="Q48" i="29" s="1"/>
  <c r="M48" i="29"/>
  <c r="AP47" i="29"/>
  <c r="AR47" i="29" s="1"/>
  <c r="T47" i="29"/>
  <c r="V47" i="29" s="1"/>
  <c r="Q47" i="29"/>
  <c r="O47" i="29"/>
  <c r="N47" i="29"/>
  <c r="M47" i="29"/>
  <c r="P47" i="29" s="1"/>
  <c r="AP46" i="29"/>
  <c r="AR46" i="29" s="1"/>
  <c r="T46" i="29"/>
  <c r="V46" i="29" s="1"/>
  <c r="P46" i="29"/>
  <c r="N46" i="29"/>
  <c r="Q46" i="29" s="1"/>
  <c r="M46" i="29"/>
  <c r="S45" i="29"/>
  <c r="T45" i="29" s="1"/>
  <c r="V45" i="29" s="1"/>
  <c r="Q45" i="29"/>
  <c r="P45" i="29"/>
  <c r="O45" i="29"/>
  <c r="M45" i="29"/>
  <c r="AP44" i="29"/>
  <c r="AR44" i="29" s="1"/>
  <c r="T44" i="29"/>
  <c r="V44" i="29" s="1"/>
  <c r="P44" i="29"/>
  <c r="O44" i="29"/>
  <c r="N44" i="29"/>
  <c r="Q44" i="29" s="1"/>
  <c r="M44" i="29"/>
  <c r="V43" i="29"/>
  <c r="T43" i="29"/>
  <c r="Q43" i="29"/>
  <c r="P43" i="29"/>
  <c r="N43" i="29"/>
  <c r="O43" i="29" s="1"/>
  <c r="M43" i="29"/>
  <c r="V42" i="29"/>
  <c r="Q42" i="29"/>
  <c r="P42" i="29"/>
  <c r="O42" i="29"/>
  <c r="AR41" i="29"/>
  <c r="AN40" i="29"/>
  <c r="AM40" i="29"/>
  <c r="AL40" i="29"/>
  <c r="AK40" i="29"/>
  <c r="AJ40" i="29"/>
  <c r="AI40" i="29"/>
  <c r="AH40" i="29"/>
  <c r="AG40" i="29"/>
  <c r="AF40" i="29"/>
  <c r="AE40" i="29"/>
  <c r="AC40" i="29"/>
  <c r="AB40" i="29"/>
  <c r="AA40" i="29"/>
  <c r="Z40" i="29"/>
  <c r="V39" i="29"/>
  <c r="Q39" i="29"/>
  <c r="P39" i="29"/>
  <c r="V38" i="29"/>
  <c r="Q38" i="29"/>
  <c r="P38" i="29"/>
  <c r="AR37" i="29"/>
  <c r="AN36" i="29"/>
  <c r="AN94" i="29" s="1"/>
  <c r="AM36" i="29"/>
  <c r="AL36" i="29"/>
  <c r="AL94" i="29" s="1"/>
  <c r="AK36" i="29"/>
  <c r="AK94" i="29" s="1"/>
  <c r="AJ36" i="29"/>
  <c r="AJ94" i="29" s="1"/>
  <c r="AI36" i="29"/>
  <c r="AI94" i="29" s="1"/>
  <c r="AH36" i="29"/>
  <c r="AH94" i="29" s="1"/>
  <c r="AG36" i="29"/>
  <c r="AG94" i="29" s="1"/>
  <c r="AF36" i="29"/>
  <c r="AF94" i="29" s="1"/>
  <c r="AE36" i="29"/>
  <c r="AC36" i="29"/>
  <c r="AC94" i="29" s="1"/>
  <c r="AC96" i="29" s="1"/>
  <c r="AC98" i="29" s="1"/>
  <c r="AB36" i="29"/>
  <c r="AB94" i="29" s="1"/>
  <c r="AA36" i="29"/>
  <c r="AA94" i="29" s="1"/>
  <c r="Z36" i="29"/>
  <c r="Z94" i="29" s="1"/>
  <c r="AP35" i="29"/>
  <c r="AR35" i="29" s="1"/>
  <c r="O35" i="29"/>
  <c r="N35" i="29"/>
  <c r="S35" i="29" s="1"/>
  <c r="T35" i="29" s="1"/>
  <c r="V35" i="29" s="1"/>
  <c r="M35" i="29"/>
  <c r="P35" i="29" s="1"/>
  <c r="AP34" i="29"/>
  <c r="AR34" i="29" s="1"/>
  <c r="Q34" i="29"/>
  <c r="P34" i="29"/>
  <c r="N34" i="29"/>
  <c r="O34" i="29" s="1"/>
  <c r="M34" i="29"/>
  <c r="AP33" i="29"/>
  <c r="AR33" i="29" s="1"/>
  <c r="T33" i="29"/>
  <c r="V33" i="29" s="1"/>
  <c r="S33" i="29"/>
  <c r="Q33" i="29"/>
  <c r="O33" i="29"/>
  <c r="N33" i="29"/>
  <c r="M33" i="29"/>
  <c r="P33" i="29" s="1"/>
  <c r="AP32" i="29"/>
  <c r="AR32" i="29" s="1"/>
  <c r="S32" i="29"/>
  <c r="T32" i="29" s="1"/>
  <c r="V32" i="29" s="1"/>
  <c r="Q32" i="29"/>
  <c r="O32" i="29"/>
  <c r="N32" i="29"/>
  <c r="M32" i="29"/>
  <c r="P32" i="29" s="1"/>
  <c r="AP31" i="29"/>
  <c r="AR31" i="29" s="1"/>
  <c r="Q31" i="29"/>
  <c r="O31" i="29"/>
  <c r="N31" i="29"/>
  <c r="S31" i="29" s="1"/>
  <c r="T31" i="29" s="1"/>
  <c r="V31" i="29" s="1"/>
  <c r="M31" i="29"/>
  <c r="P31" i="29" s="1"/>
  <c r="T30" i="29"/>
  <c r="V30" i="29" s="1"/>
  <c r="Q30" i="29"/>
  <c r="P30" i="29"/>
  <c r="O30" i="29"/>
  <c r="AP29" i="29"/>
  <c r="AR29" i="29" s="1"/>
  <c r="V29" i="29"/>
  <c r="S29" i="29"/>
  <c r="Q29" i="29"/>
  <c r="P29" i="29"/>
  <c r="O29" i="29"/>
  <c r="AP28" i="29"/>
  <c r="AR28" i="29" s="1"/>
  <c r="V28" i="29"/>
  <c r="Q28" i="29"/>
  <c r="P28" i="29"/>
  <c r="O28" i="29"/>
  <c r="AP27" i="29"/>
  <c r="AR27" i="29" s="1"/>
  <c r="AP26" i="29"/>
  <c r="AR26" i="29" s="1"/>
  <c r="V26" i="29"/>
  <c r="Q26" i="29"/>
  <c r="P26" i="29"/>
  <c r="O26" i="29"/>
  <c r="AP25" i="29"/>
  <c r="S25" i="29"/>
  <c r="T25" i="29" s="1"/>
  <c r="V25" i="29" s="1"/>
  <c r="Q25" i="29"/>
  <c r="P25" i="29"/>
  <c r="O25" i="29"/>
  <c r="N25" i="29"/>
  <c r="AP24" i="29"/>
  <c r="AR24" i="29" s="1"/>
  <c r="V24" i="29"/>
  <c r="Q24" i="29"/>
  <c r="P24" i="29"/>
  <c r="O24" i="29"/>
  <c r="AR23" i="29"/>
  <c r="AN22" i="29"/>
  <c r="AM22" i="29"/>
  <c r="AL22" i="29"/>
  <c r="AK22" i="29"/>
  <c r="AJ22" i="29"/>
  <c r="AI22" i="29"/>
  <c r="AH22" i="29"/>
  <c r="AG22" i="29"/>
  <c r="AF22" i="29"/>
  <c r="AE22" i="29"/>
  <c r="AC22" i="29"/>
  <c r="AB22" i="29"/>
  <c r="AB96" i="29" s="1"/>
  <c r="AB98" i="29" s="1"/>
  <c r="AA22" i="29"/>
  <c r="AA96" i="29" s="1"/>
  <c r="Z22" i="29"/>
  <c r="AP21" i="29"/>
  <c r="AR21" i="29" s="1"/>
  <c r="S21" i="29"/>
  <c r="V21" i="29" s="1"/>
  <c r="Q21" i="29"/>
  <c r="P21" i="29"/>
  <c r="O21" i="29"/>
  <c r="AP20" i="29"/>
  <c r="AR20" i="29" s="1"/>
  <c r="S20" i="29"/>
  <c r="T20" i="29" s="1"/>
  <c r="V20" i="29" s="1"/>
  <c r="Q20" i="29"/>
  <c r="P20" i="29"/>
  <c r="O20" i="29"/>
  <c r="N20" i="29"/>
  <c r="AP19" i="29"/>
  <c r="AR19" i="29" s="1"/>
  <c r="S19" i="29"/>
  <c r="T19" i="29" s="1"/>
  <c r="V19" i="29" s="1"/>
  <c r="Q19" i="29"/>
  <c r="P19" i="29"/>
  <c r="O19" i="29"/>
  <c r="AP18" i="29"/>
  <c r="AR18" i="29" s="1"/>
  <c r="P18" i="29"/>
  <c r="N18" i="29"/>
  <c r="S18" i="29" s="1"/>
  <c r="T18" i="29" s="1"/>
  <c r="V18" i="29" s="1"/>
  <c r="AR17" i="29"/>
  <c r="AP17" i="29"/>
  <c r="T17" i="29"/>
  <c r="V17" i="29" s="1"/>
  <c r="Q17" i="29"/>
  <c r="P17" i="29"/>
  <c r="O17" i="29"/>
  <c r="AP16" i="29"/>
  <c r="AR16" i="29" s="1"/>
  <c r="P16" i="29"/>
  <c r="N16" i="29"/>
  <c r="S16" i="29" s="1"/>
  <c r="T16" i="29" s="1"/>
  <c r="V16" i="29" s="1"/>
  <c r="T15" i="29"/>
  <c r="V15" i="29" s="1"/>
  <c r="S15" i="29"/>
  <c r="Q15" i="29"/>
  <c r="P15" i="29"/>
  <c r="O15" i="29"/>
  <c r="T14" i="29"/>
  <c r="V14" i="29" s="1"/>
  <c r="S14" i="29"/>
  <c r="Q14" i="29"/>
  <c r="P14" i="29"/>
  <c r="O14" i="29"/>
  <c r="AP13" i="29"/>
  <c r="AR13" i="29" s="1"/>
  <c r="V13" i="29"/>
  <c r="Q13" i="29"/>
  <c r="P13" i="29"/>
  <c r="O13" i="29"/>
  <c r="AP12" i="29"/>
  <c r="AR12" i="29" s="1"/>
  <c r="V12" i="29"/>
  <c r="Q12" i="29"/>
  <c r="P12" i="29"/>
  <c r="O12" i="29"/>
  <c r="AP11" i="29"/>
  <c r="AR11" i="29" s="1"/>
  <c r="T11" i="29"/>
  <c r="V11" i="29" s="1"/>
  <c r="S11" i="29"/>
  <c r="Q11" i="29"/>
  <c r="P11" i="29"/>
  <c r="O11" i="29"/>
  <c r="AP10" i="29"/>
  <c r="AR10" i="29" s="1"/>
  <c r="V10" i="29"/>
  <c r="Q10" i="29"/>
  <c r="P10" i="29"/>
  <c r="O10" i="29"/>
  <c r="AP9" i="29"/>
  <c r="AR9" i="29" s="1"/>
  <c r="V9" i="29"/>
  <c r="Q9" i="29"/>
  <c r="P9" i="29"/>
  <c r="O9" i="29"/>
  <c r="AP8" i="29"/>
  <c r="AR8" i="29" s="1"/>
  <c r="V8" i="29"/>
  <c r="Q8" i="29"/>
  <c r="P8" i="29"/>
  <c r="O8" i="29"/>
  <c r="AP7" i="29"/>
  <c r="V7" i="29"/>
  <c r="Q7" i="29"/>
  <c r="P7" i="29"/>
  <c r="O7" i="29"/>
  <c r="V6" i="29"/>
  <c r="Q6" i="29"/>
  <c r="P6" i="29"/>
  <c r="O6" i="29"/>
  <c r="AP5" i="29"/>
  <c r="AR5" i="29" s="1"/>
  <c r="V5" i="29"/>
  <c r="Q5" i="29"/>
  <c r="P5" i="29"/>
  <c r="O5" i="29"/>
  <c r="V4" i="29"/>
  <c r="Q4" i="29"/>
  <c r="P4" i="29"/>
  <c r="O4" i="29"/>
  <c r="O53" i="27"/>
  <c r="R98" i="27"/>
  <c r="O99" i="27"/>
  <c r="R99" i="27" s="1"/>
  <c r="O97" i="27"/>
  <c r="O57" i="27"/>
  <c r="AP82" i="29" l="1"/>
  <c r="AR82" i="29" s="1"/>
  <c r="AD77" i="29"/>
  <c r="AP54" i="29"/>
  <c r="AR54" i="29" s="1"/>
  <c r="AP59" i="29"/>
  <c r="AR59" i="29" s="1"/>
  <c r="AP38" i="29"/>
  <c r="AR38" i="29" s="1"/>
  <c r="AD94" i="29"/>
  <c r="AP36" i="29"/>
  <c r="AR36" i="29" s="1"/>
  <c r="AD22" i="29"/>
  <c r="AP4" i="29"/>
  <c r="AR4" i="29" s="1"/>
  <c r="AP22" i="29"/>
  <c r="AR22" i="29" s="1"/>
  <c r="AP155" i="29"/>
  <c r="AR155" i="29" s="1"/>
  <c r="AN96" i="29"/>
  <c r="AN98" i="29" s="1"/>
  <c r="Z96" i="29"/>
  <c r="AR7" i="29"/>
  <c r="O16" i="29"/>
  <c r="O18" i="29"/>
  <c r="AR25" i="29"/>
  <c r="S34" i="29"/>
  <c r="T34" i="29" s="1"/>
  <c r="V34" i="29" s="1"/>
  <c r="O46" i="29"/>
  <c r="O61" i="29"/>
  <c r="S79" i="29"/>
  <c r="T79" i="29" s="1"/>
  <c r="V79" i="29" s="1"/>
  <c r="O88" i="29"/>
  <c r="O89" i="29"/>
  <c r="O90" i="29"/>
  <c r="Q35" i="29"/>
  <c r="AP51" i="29"/>
  <c r="AR51" i="29" s="1"/>
  <c r="AP77" i="29"/>
  <c r="AR77" i="29" s="1"/>
  <c r="Q87" i="29"/>
  <c r="Q148" i="29"/>
  <c r="Q16" i="29"/>
  <c r="Q18" i="29"/>
  <c r="AP40" i="29"/>
  <c r="AR40" i="29" s="1"/>
  <c r="O48" i="29"/>
  <c r="O49" i="29"/>
  <c r="O72" i="29"/>
  <c r="O73" i="29"/>
  <c r="O84" i="29"/>
  <c r="L85" i="29"/>
  <c r="N85" i="29" s="1"/>
  <c r="Q90" i="29"/>
  <c r="O92" i="29"/>
  <c r="O76" i="29"/>
  <c r="Q91" i="29"/>
  <c r="O93" i="29"/>
  <c r="AP69" i="29"/>
  <c r="AR69" i="29" s="1"/>
  <c r="Q73" i="29"/>
  <c r="Q84" i="29"/>
  <c r="Q92" i="29"/>
  <c r="AD96" i="29" l="1"/>
  <c r="AD98" i="29" s="1"/>
  <c r="AP94" i="29"/>
  <c r="AR94" i="29" s="1"/>
  <c r="Q85" i="29"/>
  <c r="O85" i="29"/>
  <c r="S85" i="29"/>
  <c r="T85" i="29" s="1"/>
  <c r="V85" i="29" s="1"/>
  <c r="P102" i="27"/>
  <c r="P101" i="27"/>
  <c r="P100" i="27"/>
  <c r="P99" i="27"/>
  <c r="P98" i="27"/>
  <c r="P97" i="27"/>
  <c r="P96" i="27"/>
  <c r="P92" i="27"/>
  <c r="P87" i="27"/>
  <c r="P86" i="27"/>
  <c r="P85" i="27"/>
  <c r="P83" i="27"/>
  <c r="P73" i="27"/>
  <c r="P72" i="27"/>
  <c r="P70" i="27"/>
  <c r="P69" i="27"/>
  <c r="P68" i="27"/>
  <c r="P48" i="27"/>
  <c r="P47" i="27"/>
  <c r="P46" i="27"/>
  <c r="P44" i="27"/>
  <c r="P43" i="27"/>
  <c r="P42" i="27"/>
  <c r="P37" i="27"/>
  <c r="P35" i="27"/>
  <c r="P34" i="27"/>
  <c r="P31" i="27"/>
  <c r="P28" i="27"/>
  <c r="P27" i="27"/>
  <c r="P24" i="27"/>
  <c r="P22" i="27"/>
  <c r="P21" i="27"/>
  <c r="P20" i="27"/>
  <c r="P19" i="27"/>
  <c r="P18" i="27"/>
  <c r="P17" i="27"/>
  <c r="P16" i="27"/>
  <c r="P13" i="27"/>
  <c r="P12" i="27"/>
  <c r="P10" i="27"/>
  <c r="P9" i="27"/>
  <c r="P8" i="27"/>
  <c r="P7" i="27"/>
  <c r="P6" i="27"/>
  <c r="P5" i="27"/>
  <c r="P4" i="27"/>
  <c r="O66" i="27"/>
  <c r="P66" i="27" s="1"/>
  <c r="O60" i="27"/>
  <c r="R60" i="27" s="1"/>
  <c r="O61" i="27"/>
  <c r="R61" i="27" s="1"/>
  <c r="U48" i="27"/>
  <c r="U47" i="27"/>
  <c r="P57" i="27"/>
  <c r="AP96" i="29" l="1"/>
  <c r="AR96" i="29" s="1"/>
  <c r="P61" i="27"/>
  <c r="P62" i="27"/>
  <c r="P60" i="27"/>
  <c r="O79" i="27"/>
  <c r="T92" i="27"/>
  <c r="O63" i="27"/>
  <c r="P63" i="27" s="1"/>
  <c r="O52" i="27"/>
  <c r="O94" i="27"/>
  <c r="M95" i="27" s="1"/>
  <c r="O95" i="27" s="1"/>
  <c r="P95" i="27" s="1"/>
  <c r="O91" i="27"/>
  <c r="P91" i="27" s="1"/>
  <c r="O90" i="27"/>
  <c r="P90" i="27" s="1"/>
  <c r="Q89" i="27"/>
  <c r="O89" i="27"/>
  <c r="P89" i="27" s="1"/>
  <c r="Q88" i="27"/>
  <c r="O88" i="27"/>
  <c r="P88" i="27" s="1"/>
  <c r="AQ82" i="27"/>
  <c r="AS82" i="27" s="1"/>
  <c r="Q82" i="27"/>
  <c r="O82" i="27"/>
  <c r="O71" i="27"/>
  <c r="Q71" i="27"/>
  <c r="R94" i="27" l="1"/>
  <c r="P94" i="27"/>
  <c r="T52" i="27"/>
  <c r="U52" i="27" s="1"/>
  <c r="P52" i="27"/>
  <c r="T71" i="27"/>
  <c r="P71" i="27"/>
  <c r="T82" i="27"/>
  <c r="U82" i="27" s="1"/>
  <c r="W82" i="27" s="1"/>
  <c r="P82" i="27"/>
  <c r="T79" i="27"/>
  <c r="U79" i="27" s="1"/>
  <c r="P79" i="27"/>
  <c r="R82" i="27"/>
  <c r="R71" i="27"/>
  <c r="AA14" i="27" l="1"/>
  <c r="O45" i="27"/>
  <c r="O39" i="27"/>
  <c r="O38" i="27"/>
  <c r="O93" i="27"/>
  <c r="P93" i="27" s="1"/>
  <c r="T70" i="27"/>
  <c r="U70" i="27" s="1"/>
  <c r="W70" i="27" s="1"/>
  <c r="T69" i="27"/>
  <c r="U69" i="27" s="1"/>
  <c r="W69" i="27" s="1"/>
  <c r="AQ92" i="27"/>
  <c r="AQ85" i="27"/>
  <c r="AQ72" i="27"/>
  <c r="AQ81" i="27"/>
  <c r="AQ80" i="27"/>
  <c r="AQ79" i="27"/>
  <c r="AQ11" i="27"/>
  <c r="AQ67" i="27"/>
  <c r="AQ66" i="27"/>
  <c r="AQ159" i="27"/>
  <c r="AQ65" i="27"/>
  <c r="AQ43" i="27"/>
  <c r="AQ56" i="27"/>
  <c r="AQ55" i="27"/>
  <c r="AQ53" i="27"/>
  <c r="AS53" i="27" s="1"/>
  <c r="AQ42" i="27"/>
  <c r="AQ28" i="27"/>
  <c r="AQ16" i="27"/>
  <c r="AQ4" i="27"/>
  <c r="AS4" i="27" s="1"/>
  <c r="AQ35" i="27"/>
  <c r="AQ57" i="27"/>
  <c r="AS57" i="27" s="1"/>
  <c r="AQ59" i="27"/>
  <c r="AQ63" i="27"/>
  <c r="AS63" i="27" s="1"/>
  <c r="AQ37" i="27"/>
  <c r="AS37" i="27" s="1"/>
  <c r="AQ44" i="27"/>
  <c r="AS44" i="27" s="1"/>
  <c r="AQ69" i="27"/>
  <c r="AS69" i="27" s="1"/>
  <c r="AQ70" i="27"/>
  <c r="AS70" i="27" s="1"/>
  <c r="AQ71" i="27"/>
  <c r="AS71" i="27" s="1"/>
  <c r="AQ74" i="27"/>
  <c r="AS74" i="27" s="1"/>
  <c r="AQ75" i="27"/>
  <c r="AS75" i="27" s="1"/>
  <c r="AQ76" i="27"/>
  <c r="AS76" i="27" s="1"/>
  <c r="AQ78" i="27"/>
  <c r="AQ89" i="27"/>
  <c r="AS89" i="27" s="1"/>
  <c r="AQ90" i="27"/>
  <c r="AS90" i="27" s="1"/>
  <c r="AQ91" i="27"/>
  <c r="AS91" i="27" s="1"/>
  <c r="AQ94" i="27"/>
  <c r="AS94" i="27" s="1"/>
  <c r="AQ96" i="27"/>
  <c r="AQ97" i="27"/>
  <c r="AQ108" i="27"/>
  <c r="AS108" i="27" s="1"/>
  <c r="AQ8" i="27"/>
  <c r="AQ12" i="27"/>
  <c r="AQ13" i="27"/>
  <c r="AN168" i="27"/>
  <c r="AM168" i="27"/>
  <c r="AL168" i="27"/>
  <c r="AK168" i="27"/>
  <c r="AJ168" i="27"/>
  <c r="AI168" i="27"/>
  <c r="AH168" i="27"/>
  <c r="AG168" i="27"/>
  <c r="AF168" i="27"/>
  <c r="AE168" i="27"/>
  <c r="AD168" i="27"/>
  <c r="AC168" i="27"/>
  <c r="AA168" i="27"/>
  <c r="AQ167" i="27"/>
  <c r="AS167" i="27" s="1"/>
  <c r="AQ166" i="27"/>
  <c r="AS166" i="27" s="1"/>
  <c r="AO165" i="27"/>
  <c r="AO168" i="27" s="1"/>
  <c r="AQ164" i="27"/>
  <c r="AS164" i="27" s="1"/>
  <c r="AQ163" i="27"/>
  <c r="AS163" i="27" s="1"/>
  <c r="AQ162" i="27"/>
  <c r="AS162" i="27" s="1"/>
  <c r="AQ161" i="27"/>
  <c r="AS161" i="27" s="1"/>
  <c r="AS160" i="27"/>
  <c r="AQ158" i="27"/>
  <c r="AS158" i="27" s="1"/>
  <c r="AQ157" i="27"/>
  <c r="AS157" i="27" s="1"/>
  <c r="AQ156" i="27"/>
  <c r="AS156" i="27" s="1"/>
  <c r="AQ155" i="27"/>
  <c r="AS155" i="27" s="1"/>
  <c r="AQ154" i="27"/>
  <c r="AS154" i="27" s="1"/>
  <c r="AQ153" i="27"/>
  <c r="AS153" i="27" s="1"/>
  <c r="AQ152" i="27"/>
  <c r="AS152" i="27" s="1"/>
  <c r="AQ151" i="27"/>
  <c r="AS151" i="27" s="1"/>
  <c r="AQ150" i="27"/>
  <c r="AS150" i="27" s="1"/>
  <c r="AQ149" i="27"/>
  <c r="AS149" i="27" s="1"/>
  <c r="AQ148" i="27"/>
  <c r="AS148" i="27" s="1"/>
  <c r="AQ147" i="27"/>
  <c r="AS147" i="27" s="1"/>
  <c r="AQ146" i="27"/>
  <c r="AS146" i="27" s="1"/>
  <c r="AQ145" i="27"/>
  <c r="AS145" i="27" s="1"/>
  <c r="AQ144" i="27"/>
  <c r="AS144" i="27" s="1"/>
  <c r="AQ143" i="27"/>
  <c r="AS143" i="27" s="1"/>
  <c r="AQ142" i="27"/>
  <c r="AS142" i="27" s="1"/>
  <c r="AQ141" i="27"/>
  <c r="AS141" i="27" s="1"/>
  <c r="AQ140" i="27"/>
  <c r="AS140" i="27" s="1"/>
  <c r="AQ139" i="27"/>
  <c r="AS139" i="27" s="1"/>
  <c r="AQ138" i="27"/>
  <c r="AS138" i="27" s="1"/>
  <c r="AQ137" i="27"/>
  <c r="AS137" i="27" s="1"/>
  <c r="AS136" i="27"/>
  <c r="AC120" i="27"/>
  <c r="AO116" i="27"/>
  <c r="AO117" i="27" s="1"/>
  <c r="AO118" i="27" s="1"/>
  <c r="AO119" i="27" s="1"/>
  <c r="AO120" i="27" s="1"/>
  <c r="AO121" i="27" s="1"/>
  <c r="AO122" i="27" s="1"/>
  <c r="AO123" i="27" s="1"/>
  <c r="AO124" i="27" s="1"/>
  <c r="AO125" i="27" s="1"/>
  <c r="AO126" i="27" s="1"/>
  <c r="AC116" i="27"/>
  <c r="AS110" i="27"/>
  <c r="R97" i="27"/>
  <c r="Q97" i="27"/>
  <c r="R96" i="27"/>
  <c r="Q96" i="27"/>
  <c r="AQ95" i="27"/>
  <c r="AS95" i="27" s="1"/>
  <c r="T95" i="27"/>
  <c r="U95" i="27" s="1"/>
  <c r="W95" i="27" s="1"/>
  <c r="R95" i="27"/>
  <c r="Q95" i="27"/>
  <c r="Q94" i="27"/>
  <c r="T94" i="27"/>
  <c r="U94" i="27" s="1"/>
  <c r="W94" i="27" s="1"/>
  <c r="AM88" i="27"/>
  <c r="U88" i="27"/>
  <c r="W88" i="27" s="1"/>
  <c r="R88" i="27"/>
  <c r="AQ93" i="27"/>
  <c r="AS93" i="27" s="1"/>
  <c r="Q93" i="27"/>
  <c r="U92" i="27"/>
  <c r="W92" i="27" s="1"/>
  <c r="R92" i="27"/>
  <c r="Q92" i="27"/>
  <c r="Q91" i="27"/>
  <c r="T91" i="27"/>
  <c r="Q90" i="27"/>
  <c r="T90" i="27"/>
  <c r="U89" i="27"/>
  <c r="W89" i="27" s="1"/>
  <c r="R89" i="27"/>
  <c r="AL87" i="27"/>
  <c r="U87" i="27"/>
  <c r="W87" i="27" s="1"/>
  <c r="R87" i="27"/>
  <c r="Q87" i="27"/>
  <c r="AQ73" i="27"/>
  <c r="AS73" i="27" s="1"/>
  <c r="R73" i="27"/>
  <c r="Q73" i="27"/>
  <c r="AQ86" i="27"/>
  <c r="R86" i="27"/>
  <c r="Q86" i="27"/>
  <c r="R85" i="27"/>
  <c r="Q85" i="27"/>
  <c r="AO84" i="27"/>
  <c r="Q84" i="27"/>
  <c r="O84" i="27"/>
  <c r="W52" i="27"/>
  <c r="R52" i="27"/>
  <c r="Q52" i="27"/>
  <c r="Q78" i="27"/>
  <c r="O78" i="27"/>
  <c r="AQ77" i="27"/>
  <c r="AS77" i="27" s="1"/>
  <c r="Q77" i="27"/>
  <c r="O77" i="27"/>
  <c r="Q76" i="27"/>
  <c r="O76" i="27"/>
  <c r="Q75" i="27"/>
  <c r="O75" i="27"/>
  <c r="Q74" i="27"/>
  <c r="O74" i="27"/>
  <c r="U72" i="27"/>
  <c r="W72" i="27" s="1"/>
  <c r="Q72" i="27"/>
  <c r="R72" i="27"/>
  <c r="Q81" i="27"/>
  <c r="O81" i="27"/>
  <c r="Q80" i="27"/>
  <c r="O80" i="27"/>
  <c r="Q79" i="27"/>
  <c r="U71" i="27"/>
  <c r="W71" i="27" s="1"/>
  <c r="Q70" i="27"/>
  <c r="Q69" i="27"/>
  <c r="AQ68" i="27"/>
  <c r="AS68" i="27" s="1"/>
  <c r="Q68" i="27"/>
  <c r="W68" i="27"/>
  <c r="Q11" i="27"/>
  <c r="O11" i="27"/>
  <c r="P11" i="27" s="1"/>
  <c r="Q67" i="27"/>
  <c r="O67" i="27"/>
  <c r="AQ45" i="27"/>
  <c r="Q45" i="27"/>
  <c r="W44" i="27"/>
  <c r="R44" i="27"/>
  <c r="Q44" i="27"/>
  <c r="AQ39" i="27"/>
  <c r="AS39" i="27" s="1"/>
  <c r="Q39" i="27"/>
  <c r="AQ38" i="27"/>
  <c r="AS38" i="27" s="1"/>
  <c r="Q38" i="27"/>
  <c r="W37" i="27"/>
  <c r="R37" i="27"/>
  <c r="Q37" i="27"/>
  <c r="W66" i="27"/>
  <c r="Q66" i="27"/>
  <c r="R66" i="27"/>
  <c r="U159" i="27"/>
  <c r="W159" i="27" s="1"/>
  <c r="Q159" i="27"/>
  <c r="O159" i="27"/>
  <c r="R159" i="27" s="1"/>
  <c r="U65" i="27"/>
  <c r="W65" i="27" s="1"/>
  <c r="Q65" i="27"/>
  <c r="O65" i="27"/>
  <c r="AQ64" i="27"/>
  <c r="U64" i="27"/>
  <c r="W64" i="27" s="1"/>
  <c r="Q64" i="27"/>
  <c r="O64" i="27"/>
  <c r="W43" i="27"/>
  <c r="R43" i="27"/>
  <c r="Q43" i="27"/>
  <c r="U63" i="27"/>
  <c r="W63" i="27" s="1"/>
  <c r="Q63" i="27"/>
  <c r="R63" i="27"/>
  <c r="U59" i="27"/>
  <c r="W59" i="27" s="1"/>
  <c r="Q59" i="27"/>
  <c r="O59" i="27"/>
  <c r="AQ58" i="27"/>
  <c r="AS58" i="27" s="1"/>
  <c r="U58" i="27"/>
  <c r="W58" i="27" s="1"/>
  <c r="Q58" i="27"/>
  <c r="O58" i="27"/>
  <c r="Q57" i="27"/>
  <c r="T57" i="27"/>
  <c r="U57" i="27" s="1"/>
  <c r="W57" i="27" s="1"/>
  <c r="U56" i="27"/>
  <c r="W56" i="27" s="1"/>
  <c r="Q56" i="27"/>
  <c r="O56" i="27"/>
  <c r="U55" i="27"/>
  <c r="W55" i="27" s="1"/>
  <c r="Q55" i="27"/>
  <c r="O55" i="27"/>
  <c r="U54" i="27"/>
  <c r="W54" i="27" s="1"/>
  <c r="Q54" i="27"/>
  <c r="O54" i="27"/>
  <c r="Q53" i="27"/>
  <c r="AS51" i="27"/>
  <c r="W48" i="27"/>
  <c r="R48" i="27"/>
  <c r="Q48" i="27"/>
  <c r="W47" i="27"/>
  <c r="R47" i="27"/>
  <c r="Q47" i="27"/>
  <c r="W46" i="27"/>
  <c r="R46" i="27"/>
  <c r="Q46" i="27"/>
  <c r="W42" i="27"/>
  <c r="R42" i="27"/>
  <c r="Q42" i="27"/>
  <c r="AS41" i="27"/>
  <c r="W22" i="27"/>
  <c r="R22" i="27"/>
  <c r="Q22" i="27"/>
  <c r="W35" i="27"/>
  <c r="R35" i="27"/>
  <c r="Q35" i="27"/>
  <c r="AQ36" i="27"/>
  <c r="W36" i="27"/>
  <c r="W34" i="27"/>
  <c r="R34" i="27"/>
  <c r="Q34" i="27"/>
  <c r="AS33" i="27"/>
  <c r="W31" i="27"/>
  <c r="R31" i="27"/>
  <c r="Q31" i="27"/>
  <c r="AS30" i="27"/>
  <c r="AM29" i="27"/>
  <c r="AE29" i="27"/>
  <c r="W28" i="27"/>
  <c r="R28" i="27"/>
  <c r="Q28" i="27"/>
  <c r="W27" i="27"/>
  <c r="R27" i="27"/>
  <c r="Q27" i="27"/>
  <c r="AS26" i="27"/>
  <c r="AM25" i="27"/>
  <c r="AJ25" i="27"/>
  <c r="AI25" i="27"/>
  <c r="AI29" i="27" s="1"/>
  <c r="AI32" i="27" s="1"/>
  <c r="AI40" i="27" s="1"/>
  <c r="AI50" i="27" s="1"/>
  <c r="AE25" i="27"/>
  <c r="AQ24" i="27"/>
  <c r="W24" i="27"/>
  <c r="R24" i="27"/>
  <c r="Q24" i="27"/>
  <c r="AQ23" i="27"/>
  <c r="AQ21" i="27"/>
  <c r="W21" i="27"/>
  <c r="R21" i="27"/>
  <c r="Q21" i="27"/>
  <c r="AQ20" i="27"/>
  <c r="W20" i="27"/>
  <c r="R20" i="27"/>
  <c r="Q20" i="27"/>
  <c r="W19" i="27"/>
  <c r="R19" i="27"/>
  <c r="Q19" i="27"/>
  <c r="W18" i="27"/>
  <c r="R18" i="27"/>
  <c r="Q18" i="27"/>
  <c r="W17" i="27"/>
  <c r="R17" i="27"/>
  <c r="Q17" i="27"/>
  <c r="W16" i="27"/>
  <c r="R16" i="27"/>
  <c r="Q16" i="27"/>
  <c r="AO14" i="27"/>
  <c r="AN14" i="27"/>
  <c r="AN25" i="27" s="1"/>
  <c r="AM14" i="27"/>
  <c r="AL14" i="27"/>
  <c r="AL25" i="27" s="1"/>
  <c r="AL29" i="27" s="1"/>
  <c r="AK14" i="27"/>
  <c r="AK25" i="27" s="1"/>
  <c r="AJ14" i="27"/>
  <c r="AJ29" i="27" s="1"/>
  <c r="AI14" i="27"/>
  <c r="AH14" i="27"/>
  <c r="AG14" i="27"/>
  <c r="AF14" i="27"/>
  <c r="AF25" i="27" s="1"/>
  <c r="AE14" i="27"/>
  <c r="AD14" i="27"/>
  <c r="AD25" i="27" s="1"/>
  <c r="AC14" i="27"/>
  <c r="AC25" i="27" s="1"/>
  <c r="T13" i="27"/>
  <c r="W13" i="27" s="1"/>
  <c r="R13" i="27"/>
  <c r="Q13" i="27"/>
  <c r="W12" i="27"/>
  <c r="R12" i="27"/>
  <c r="Q12" i="27"/>
  <c r="W8" i="27"/>
  <c r="R8" i="27"/>
  <c r="Q8" i="27"/>
  <c r="AQ7" i="27"/>
  <c r="W7" i="27"/>
  <c r="R7" i="27"/>
  <c r="Q7" i="27"/>
  <c r="AQ6" i="27"/>
  <c r="W6" i="27"/>
  <c r="R6" i="27"/>
  <c r="Q6" i="27"/>
  <c r="W5" i="27"/>
  <c r="R5" i="27"/>
  <c r="Q5" i="27"/>
  <c r="W4" i="27"/>
  <c r="R4" i="27"/>
  <c r="Q4" i="27"/>
  <c r="AQ10" i="27"/>
  <c r="W10" i="27"/>
  <c r="R10" i="27"/>
  <c r="Q10" i="27"/>
  <c r="W9" i="27"/>
  <c r="R9" i="27"/>
  <c r="Q9" i="27"/>
  <c r="AX148" i="24"/>
  <c r="AW148" i="24"/>
  <c r="AV148" i="24"/>
  <c r="AU148" i="24"/>
  <c r="AT148" i="24"/>
  <c r="AS148" i="24"/>
  <c r="AR148" i="24"/>
  <c r="AQ148" i="24"/>
  <c r="AP148" i="24"/>
  <c r="AO148" i="24"/>
  <c r="AN148" i="24"/>
  <c r="AM148" i="24"/>
  <c r="AL148" i="24"/>
  <c r="AJ148" i="24"/>
  <c r="AI148" i="24"/>
  <c r="AH148" i="24"/>
  <c r="AG148" i="24"/>
  <c r="AF148" i="24"/>
  <c r="AE148" i="24"/>
  <c r="AD148" i="24"/>
  <c r="AC148" i="24"/>
  <c r="AB148" i="24"/>
  <c r="AA148" i="24"/>
  <c r="Z148" i="24"/>
  <c r="Y148" i="24"/>
  <c r="X148" i="24"/>
  <c r="X146" i="24"/>
  <c r="AZ146" i="24"/>
  <c r="AX146" i="24"/>
  <c r="AW146" i="24"/>
  <c r="AV146" i="24"/>
  <c r="AU146" i="24"/>
  <c r="AT146" i="24"/>
  <c r="AS146" i="24"/>
  <c r="AR146" i="24"/>
  <c r="AQ146" i="24"/>
  <c r="AP146" i="24"/>
  <c r="AO146" i="24"/>
  <c r="AN146" i="24"/>
  <c r="AM146" i="24"/>
  <c r="AL146" i="24"/>
  <c r="AJ146" i="24"/>
  <c r="AI146" i="24"/>
  <c r="AH146" i="24"/>
  <c r="AG146" i="24"/>
  <c r="AF146" i="24"/>
  <c r="AE146" i="24"/>
  <c r="AD146" i="24"/>
  <c r="AC146" i="24"/>
  <c r="AB146" i="24"/>
  <c r="AA146" i="24"/>
  <c r="Z146" i="24"/>
  <c r="Y146" i="24"/>
  <c r="AZ86" i="24"/>
  <c r="AX86" i="24"/>
  <c r="AW86" i="24"/>
  <c r="AV86" i="24"/>
  <c r="AU86" i="24"/>
  <c r="AT86" i="24"/>
  <c r="AS86" i="24"/>
  <c r="AR86" i="24"/>
  <c r="AQ86" i="24"/>
  <c r="AP86" i="24"/>
  <c r="AO86" i="24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AX68" i="24"/>
  <c r="AW68" i="24"/>
  <c r="AV68" i="24"/>
  <c r="AU68" i="24"/>
  <c r="AT68" i="24"/>
  <c r="AS68" i="24"/>
  <c r="AR68" i="24"/>
  <c r="AQ68" i="24"/>
  <c r="AP68" i="24"/>
  <c r="AO68" i="24"/>
  <c r="AN68" i="24"/>
  <c r="AM68" i="24"/>
  <c r="AL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AX65" i="24"/>
  <c r="AW65" i="24"/>
  <c r="AV65" i="24"/>
  <c r="AU65" i="24"/>
  <c r="AT65" i="24"/>
  <c r="AS65" i="24"/>
  <c r="AR65" i="24"/>
  <c r="AQ65" i="24"/>
  <c r="AP65" i="24"/>
  <c r="AO65" i="24"/>
  <c r="AN65" i="24"/>
  <c r="AM65" i="24"/>
  <c r="AL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AZ56" i="24"/>
  <c r="AX56" i="24"/>
  <c r="AW56" i="24"/>
  <c r="AV56" i="24"/>
  <c r="AU56" i="24"/>
  <c r="AT56" i="24"/>
  <c r="AS56" i="24"/>
  <c r="AR56" i="24"/>
  <c r="AQ56" i="24"/>
  <c r="AP56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AZ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AZ49" i="24"/>
  <c r="AX49" i="24"/>
  <c r="AW49" i="24"/>
  <c r="AV49" i="24"/>
  <c r="AU49" i="24"/>
  <c r="AT49" i="24"/>
  <c r="AS49" i="24"/>
  <c r="AR49" i="24"/>
  <c r="AQ49" i="24"/>
  <c r="AP49" i="24"/>
  <c r="AO49" i="24"/>
  <c r="AN49" i="24"/>
  <c r="AM49" i="24"/>
  <c r="AL49" i="24"/>
  <c r="AZ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AX44" i="24"/>
  <c r="AW44" i="24"/>
  <c r="AV44" i="24"/>
  <c r="AU44" i="24"/>
  <c r="AT44" i="24"/>
  <c r="AS44" i="24"/>
  <c r="AR44" i="24"/>
  <c r="AQ44" i="24"/>
  <c r="AP44" i="24"/>
  <c r="AO44" i="24"/>
  <c r="AN44" i="24"/>
  <c r="AM44" i="24"/>
  <c r="AL44" i="24"/>
  <c r="AZ40" i="24"/>
  <c r="AX40" i="24"/>
  <c r="AW40" i="24"/>
  <c r="AV40" i="24"/>
  <c r="AU40" i="24"/>
  <c r="AT40" i="24"/>
  <c r="AS40" i="24"/>
  <c r="AR40" i="24"/>
  <c r="AQ40" i="24"/>
  <c r="AP40" i="24"/>
  <c r="AO40" i="24"/>
  <c r="AN40" i="24"/>
  <c r="AM40" i="24"/>
  <c r="AL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BB28" i="24"/>
  <c r="AZ28" i="24"/>
  <c r="AX28" i="24"/>
  <c r="AW28" i="24"/>
  <c r="AV28" i="24"/>
  <c r="AU28" i="24"/>
  <c r="AT28" i="24"/>
  <c r="AS28" i="24"/>
  <c r="AR28" i="24"/>
  <c r="AQ28" i="24"/>
  <c r="AP28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X28" i="24"/>
  <c r="Y28" i="24"/>
  <c r="AX23" i="24"/>
  <c r="AW23" i="24"/>
  <c r="AV23" i="24"/>
  <c r="AU23" i="24"/>
  <c r="AT23" i="24"/>
  <c r="AS23" i="24"/>
  <c r="AR23" i="24"/>
  <c r="AQ23" i="24"/>
  <c r="AP23" i="24"/>
  <c r="AO23" i="24"/>
  <c r="AN23" i="24"/>
  <c r="AM23" i="24"/>
  <c r="AL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AK65" i="24"/>
  <c r="AK52" i="24"/>
  <c r="AK49" i="24"/>
  <c r="AK44" i="24"/>
  <c r="AK40" i="24"/>
  <c r="AK23" i="24"/>
  <c r="R55" i="27" l="1"/>
  <c r="P55" i="27"/>
  <c r="R58" i="27"/>
  <c r="P58" i="27"/>
  <c r="T74" i="27"/>
  <c r="U74" i="27" s="1"/>
  <c r="W74" i="27" s="1"/>
  <c r="P74" i="27"/>
  <c r="R65" i="27"/>
  <c r="P65" i="27"/>
  <c r="T80" i="27"/>
  <c r="U80" i="27" s="1"/>
  <c r="W80" i="27" s="1"/>
  <c r="P80" i="27"/>
  <c r="T78" i="27"/>
  <c r="U78" i="27" s="1"/>
  <c r="W78" i="27" s="1"/>
  <c r="P78" i="27"/>
  <c r="T75" i="27"/>
  <c r="U75" i="27" s="1"/>
  <c r="W75" i="27" s="1"/>
  <c r="P75" i="27"/>
  <c r="T53" i="27"/>
  <c r="U53" i="27" s="1"/>
  <c r="W53" i="27" s="1"/>
  <c r="P53" i="27"/>
  <c r="R56" i="27"/>
  <c r="P56" i="27"/>
  <c r="T81" i="27"/>
  <c r="U81" i="27" s="1"/>
  <c r="W81" i="27" s="1"/>
  <c r="P81" i="27"/>
  <c r="T38" i="27"/>
  <c r="U38" i="27" s="1"/>
  <c r="W38" i="27" s="1"/>
  <c r="P38" i="27"/>
  <c r="R84" i="27"/>
  <c r="P84" i="27"/>
  <c r="R59" i="27"/>
  <c r="P59" i="27"/>
  <c r="T76" i="27"/>
  <c r="U76" i="27" s="1"/>
  <c r="W76" i="27" s="1"/>
  <c r="P76" i="27"/>
  <c r="T39" i="27"/>
  <c r="P39" i="27"/>
  <c r="R54" i="27"/>
  <c r="P54" i="27"/>
  <c r="R64" i="27"/>
  <c r="P64" i="27"/>
  <c r="T45" i="27"/>
  <c r="U45" i="27" s="1"/>
  <c r="W45" i="27" s="1"/>
  <c r="P45" i="27"/>
  <c r="T67" i="27"/>
  <c r="U67" i="27" s="1"/>
  <c r="W67" i="27" s="1"/>
  <c r="P67" i="27"/>
  <c r="T77" i="27"/>
  <c r="U77" i="27" s="1"/>
  <c r="W77" i="27" s="1"/>
  <c r="P77" i="27"/>
  <c r="T11" i="27"/>
  <c r="U11" i="27" s="1"/>
  <c r="W11" i="27" s="1"/>
  <c r="T93" i="27"/>
  <c r="U93" i="27" s="1"/>
  <c r="W93" i="27" s="1"/>
  <c r="R38" i="27"/>
  <c r="R39" i="27"/>
  <c r="W79" i="27"/>
  <c r="U91" i="27"/>
  <c r="W91" i="27" s="1"/>
  <c r="U90" i="27"/>
  <c r="W90" i="27" s="1"/>
  <c r="AI109" i="27"/>
  <c r="AI111" i="27" s="1"/>
  <c r="AI113" i="27" s="1"/>
  <c r="AD29" i="27"/>
  <c r="AF29" i="27"/>
  <c r="AF32" i="27" s="1"/>
  <c r="AN29" i="27"/>
  <c r="AN32" i="27" s="1"/>
  <c r="AN40" i="27" s="1"/>
  <c r="AN50" i="27" s="1"/>
  <c r="AL32" i="27"/>
  <c r="AJ32" i="27"/>
  <c r="AM32" i="27"/>
  <c r="AM40" i="27" s="1"/>
  <c r="AM50" i="27" s="1"/>
  <c r="AG25" i="27"/>
  <c r="AO25" i="27"/>
  <c r="AC29" i="27"/>
  <c r="AC32" i="27" s="1"/>
  <c r="AC40" i="27" s="1"/>
  <c r="AC50" i="27" s="1"/>
  <c r="AK29" i="27"/>
  <c r="AK32" i="27" s="1"/>
  <c r="AK40" i="27" s="1"/>
  <c r="AK50" i="27" s="1"/>
  <c r="AH25" i="27"/>
  <c r="AE32" i="27"/>
  <c r="AO29" i="27"/>
  <c r="AO32" i="27" s="1"/>
  <c r="AO40" i="27" s="1"/>
  <c r="AO50" i="27" s="1"/>
  <c r="AQ54" i="27"/>
  <c r="AS54" i="27" s="1"/>
  <c r="AQ31" i="27"/>
  <c r="AB14" i="27"/>
  <c r="AS72" i="27"/>
  <c r="AS80" i="27"/>
  <c r="AS92" i="27"/>
  <c r="AS42" i="27"/>
  <c r="AS66" i="27"/>
  <c r="AS64" i="27"/>
  <c r="AS85" i="27"/>
  <c r="AS159" i="27"/>
  <c r="AS11" i="27"/>
  <c r="AS81" i="27"/>
  <c r="AS79" i="27"/>
  <c r="AS43" i="27"/>
  <c r="AS45" i="27"/>
  <c r="AS86" i="27"/>
  <c r="AS78" i="27"/>
  <c r="AS59" i="27"/>
  <c r="AS55" i="27"/>
  <c r="AS65" i="27"/>
  <c r="AS67" i="27"/>
  <c r="AS56" i="27"/>
  <c r="AS36" i="27"/>
  <c r="AQ48" i="27"/>
  <c r="AQ88" i="27"/>
  <c r="AS88" i="27" s="1"/>
  <c r="AQ47" i="27"/>
  <c r="AQ27" i="27"/>
  <c r="AQ18" i="27"/>
  <c r="AS18" i="27" s="1"/>
  <c r="AQ46" i="27"/>
  <c r="AQ5" i="27"/>
  <c r="AQ84" i="27"/>
  <c r="AS84" i="27" s="1"/>
  <c r="R53" i="27"/>
  <c r="AQ17" i="27"/>
  <c r="U39" i="27"/>
  <c r="W39" i="27" s="1"/>
  <c r="R93" i="27"/>
  <c r="R57" i="27"/>
  <c r="AQ34" i="27"/>
  <c r="T84" i="27"/>
  <c r="U84" i="27" s="1"/>
  <c r="W84" i="27" s="1"/>
  <c r="AQ168" i="27"/>
  <c r="AS168" i="27" s="1"/>
  <c r="R74" i="27"/>
  <c r="R75" i="27"/>
  <c r="R76" i="27"/>
  <c r="R77" i="27"/>
  <c r="R78" i="27"/>
  <c r="R90" i="27"/>
  <c r="R91" i="27"/>
  <c r="R45" i="27"/>
  <c r="R67" i="27"/>
  <c r="R11" i="27"/>
  <c r="R68" i="27"/>
  <c r="R69" i="27"/>
  <c r="R70" i="27"/>
  <c r="R79" i="27"/>
  <c r="R80" i="27"/>
  <c r="R81" i="27"/>
  <c r="AQ19" i="27"/>
  <c r="AQ165" i="27"/>
  <c r="AS165" i="27" s="1"/>
  <c r="AQ87" i="27"/>
  <c r="AS87" i="27" s="1"/>
  <c r="AK146" i="24"/>
  <c r="AM109" i="27" l="1"/>
  <c r="AM111" i="27" s="1"/>
  <c r="AM113" i="27" s="1"/>
  <c r="AJ40" i="27"/>
  <c r="AJ50" i="27" s="1"/>
  <c r="AH29" i="27"/>
  <c r="AF40" i="27"/>
  <c r="AF50" i="27" s="1"/>
  <c r="AF109" i="27" s="1"/>
  <c r="AK109" i="27"/>
  <c r="AK111" i="27" s="1"/>
  <c r="AO109" i="27"/>
  <c r="AO111" i="27" s="1"/>
  <c r="AL40" i="27"/>
  <c r="AL50" i="27" s="1"/>
  <c r="AG29" i="27"/>
  <c r="AG32" i="27" s="1"/>
  <c r="AG40" i="27" s="1"/>
  <c r="AG50" i="27" s="1"/>
  <c r="AE40" i="27"/>
  <c r="AE50" i="27" s="1"/>
  <c r="AN109" i="27"/>
  <c r="AN111" i="27" s="1"/>
  <c r="AN113" i="27" s="1"/>
  <c r="AH32" i="27"/>
  <c r="AD32" i="27"/>
  <c r="AB25" i="27"/>
  <c r="AQ49" i="27"/>
  <c r="AS49" i="27" s="1"/>
  <c r="AC133" i="27"/>
  <c r="AL109" i="27" l="1"/>
  <c r="AL111" i="27" s="1"/>
  <c r="AL113" i="27" s="1"/>
  <c r="AJ109" i="27"/>
  <c r="AJ111" i="27" s="1"/>
  <c r="AJ113" i="27" s="1"/>
  <c r="AE109" i="27"/>
  <c r="AE111" i="27" s="1"/>
  <c r="AE113" i="27" s="1"/>
  <c r="AG109" i="27"/>
  <c r="AG111" i="27" s="1"/>
  <c r="AG113" i="27" s="1"/>
  <c r="AF111" i="27"/>
  <c r="AF113" i="27" s="1"/>
  <c r="AD40" i="27"/>
  <c r="AD50" i="27" s="1"/>
  <c r="AH40" i="27"/>
  <c r="AH50" i="27" s="1"/>
  <c r="AO113" i="27"/>
  <c r="AK113" i="27"/>
  <c r="AB29" i="27"/>
  <c r="O136" i="24"/>
  <c r="O137" i="24"/>
  <c r="O123" i="24"/>
  <c r="O124" i="24"/>
  <c r="O125" i="24"/>
  <c r="N85" i="24"/>
  <c r="N84" i="24"/>
  <c r="N83" i="24"/>
  <c r="N82" i="24"/>
  <c r="N81" i="24"/>
  <c r="N80" i="24"/>
  <c r="N79" i="24"/>
  <c r="N78" i="24"/>
  <c r="N77" i="24"/>
  <c r="N74" i="24"/>
  <c r="N73" i="24"/>
  <c r="N72" i="24"/>
  <c r="N67" i="24"/>
  <c r="N64" i="24"/>
  <c r="N60" i="24"/>
  <c r="N62" i="24"/>
  <c r="N63" i="24"/>
  <c r="N58" i="24"/>
  <c r="N59" i="24"/>
  <c r="N51" i="24"/>
  <c r="N48" i="24"/>
  <c r="N47" i="24"/>
  <c r="N21" i="24"/>
  <c r="N22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4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1" i="24"/>
  <c r="N132" i="24"/>
  <c r="N133" i="24"/>
  <c r="N134" i="24"/>
  <c r="N135" i="24"/>
  <c r="N136" i="24"/>
  <c r="N137" i="24"/>
  <c r="N88" i="24"/>
  <c r="R18" i="24"/>
  <c r="AD109" i="27" l="1"/>
  <c r="AD111" i="27" s="1"/>
  <c r="AH109" i="27"/>
  <c r="AH111" i="27" s="1"/>
  <c r="AH113" i="27" s="1"/>
  <c r="AB32" i="27"/>
  <c r="AB40" i="27" s="1"/>
  <c r="AB50" i="27" s="1"/>
  <c r="R8" i="24"/>
  <c r="AD113" i="27" l="1"/>
  <c r="AE117" i="27"/>
  <c r="AB109" i="27"/>
  <c r="AB111" i="27" s="1"/>
  <c r="R96" i="24"/>
  <c r="M115" i="24"/>
  <c r="M108" i="24"/>
  <c r="AZ119" i="24"/>
  <c r="BB119" i="24" s="1"/>
  <c r="M119" i="24"/>
  <c r="O119" i="24" s="1"/>
  <c r="AZ117" i="24"/>
  <c r="BB117" i="24" s="1"/>
  <c r="M117" i="24"/>
  <c r="Q117" i="24" s="1"/>
  <c r="R117" i="24" s="1"/>
  <c r="T117" i="24" s="1"/>
  <c r="AZ116" i="24"/>
  <c r="BB116" i="24" s="1"/>
  <c r="M116" i="24"/>
  <c r="Q116" i="24" s="1"/>
  <c r="R116" i="24" s="1"/>
  <c r="T116" i="24" s="1"/>
  <c r="AZ118" i="24"/>
  <c r="BB118" i="24" s="1"/>
  <c r="M118" i="24"/>
  <c r="Q118" i="24" s="1"/>
  <c r="R118" i="24" s="1"/>
  <c r="T118" i="24" s="1"/>
  <c r="AZ124" i="24"/>
  <c r="BB124" i="24" s="1"/>
  <c r="AZ125" i="24"/>
  <c r="BB125" i="24" s="1"/>
  <c r="AZ127" i="24"/>
  <c r="AZ128" i="24"/>
  <c r="AZ129" i="24"/>
  <c r="AZ131" i="24"/>
  <c r="AZ132" i="24"/>
  <c r="AZ134" i="24"/>
  <c r="AZ135" i="24"/>
  <c r="AZ136" i="24"/>
  <c r="AZ137" i="24"/>
  <c r="Q119" i="24" l="1"/>
  <c r="R119" i="24" s="1"/>
  <c r="T119" i="24" s="1"/>
  <c r="O117" i="24"/>
  <c r="O116" i="24"/>
  <c r="O118" i="24"/>
  <c r="M99" i="24"/>
  <c r="M100" i="24"/>
  <c r="R95" i="24"/>
  <c r="R21" i="24"/>
  <c r="R104" i="24" l="1"/>
  <c r="M89" i="24"/>
  <c r="AE85" i="24" l="1"/>
  <c r="AZ85" i="24" s="1"/>
  <c r="BB85" i="24" s="1"/>
  <c r="T85" i="24"/>
  <c r="O85" i="24"/>
  <c r="M122" i="24"/>
  <c r="Q122" i="24" s="1"/>
  <c r="N39" i="24" l="1"/>
  <c r="N37" i="24"/>
  <c r="N36" i="24"/>
  <c r="N35" i="24"/>
  <c r="N34" i="24"/>
  <c r="N33" i="24"/>
  <c r="N32" i="24"/>
  <c r="N31" i="24"/>
  <c r="N26" i="24"/>
  <c r="N27" i="24"/>
  <c r="N25" i="24"/>
  <c r="N15" i="24"/>
  <c r="N17" i="24"/>
  <c r="N18" i="24"/>
  <c r="N19" i="24"/>
  <c r="N20" i="24"/>
  <c r="N8" i="24"/>
  <c r="N9" i="24"/>
  <c r="N12" i="24"/>
  <c r="N13" i="24"/>
  <c r="N14" i="24"/>
  <c r="N11" i="24"/>
  <c r="N10" i="24"/>
  <c r="N5" i="24"/>
  <c r="N6" i="24"/>
  <c r="N7" i="24"/>
  <c r="N4" i="24"/>
  <c r="L16" i="24"/>
  <c r="N16" i="24" s="1"/>
  <c r="AW204" i="24" l="1"/>
  <c r="AV204" i="24"/>
  <c r="AU204" i="24"/>
  <c r="AT204" i="24"/>
  <c r="AS204" i="24"/>
  <c r="AR204" i="24"/>
  <c r="AQ204" i="24"/>
  <c r="AP204" i="24"/>
  <c r="AO204" i="24"/>
  <c r="AN204" i="24"/>
  <c r="AM204" i="24"/>
  <c r="AL204" i="24"/>
  <c r="AK204" i="24"/>
  <c r="AJ204" i="24"/>
  <c r="AI204" i="24"/>
  <c r="AH204" i="24"/>
  <c r="AG204" i="24"/>
  <c r="AF204" i="24"/>
  <c r="AE204" i="24"/>
  <c r="AD204" i="24"/>
  <c r="AC204" i="24"/>
  <c r="AB204" i="24"/>
  <c r="AA204" i="24"/>
  <c r="Z204" i="24"/>
  <c r="Y204" i="24"/>
  <c r="X204" i="24"/>
  <c r="AZ203" i="24"/>
  <c r="BB203" i="24" s="1"/>
  <c r="AZ202" i="24"/>
  <c r="BB202" i="24" s="1"/>
  <c r="AZ199" i="24"/>
  <c r="BB199" i="24" s="1"/>
  <c r="AZ198" i="24"/>
  <c r="BB198" i="24" s="1"/>
  <c r="AZ197" i="24"/>
  <c r="BB197" i="24" s="1"/>
  <c r="AZ195" i="24"/>
  <c r="BB195" i="24" s="1"/>
  <c r="AZ194" i="24"/>
  <c r="BB194" i="24" s="1"/>
  <c r="AZ193" i="24"/>
  <c r="BB193" i="24" s="1"/>
  <c r="AZ192" i="24"/>
  <c r="BB192" i="24" s="1"/>
  <c r="AZ191" i="24"/>
  <c r="BB191" i="24" s="1"/>
  <c r="AZ190" i="24"/>
  <c r="BB190" i="24" s="1"/>
  <c r="AZ189" i="24"/>
  <c r="BB189" i="24" s="1"/>
  <c r="AZ188" i="24"/>
  <c r="BB188" i="24" s="1"/>
  <c r="AZ187" i="24"/>
  <c r="BB187" i="24" s="1"/>
  <c r="AZ186" i="24"/>
  <c r="BB186" i="24" s="1"/>
  <c r="AZ185" i="24"/>
  <c r="BB185" i="24" s="1"/>
  <c r="AZ184" i="24"/>
  <c r="BB184" i="24" s="1"/>
  <c r="AZ183" i="24"/>
  <c r="BB183" i="24" s="1"/>
  <c r="AZ182" i="24"/>
  <c r="BB182" i="24" s="1"/>
  <c r="AZ181" i="24"/>
  <c r="BB181" i="24" s="1"/>
  <c r="AZ180" i="24"/>
  <c r="BB180" i="24" s="1"/>
  <c r="AZ179" i="24"/>
  <c r="BB179" i="24" s="1"/>
  <c r="AZ178" i="24"/>
  <c r="BB178" i="24" s="1"/>
  <c r="AZ177" i="24"/>
  <c r="BB177" i="24" s="1"/>
  <c r="AZ176" i="24"/>
  <c r="BB176" i="24" s="1"/>
  <c r="AZ175" i="24"/>
  <c r="BB175" i="24" s="1"/>
  <c r="AZ174" i="24"/>
  <c r="BB174" i="24" s="1"/>
  <c r="BB173" i="24"/>
  <c r="AB166" i="24"/>
  <c r="AA166" i="24"/>
  <c r="Z166" i="24"/>
  <c r="AB162" i="24"/>
  <c r="AA162" i="24"/>
  <c r="Z162" i="24"/>
  <c r="AL157" i="24"/>
  <c r="AK157" i="24"/>
  <c r="AK170" i="24" s="1"/>
  <c r="AJ157" i="24"/>
  <c r="AJ170" i="24" s="1"/>
  <c r="AI157" i="24"/>
  <c r="AI170" i="24" s="1"/>
  <c r="AH157" i="24"/>
  <c r="AH170" i="24" s="1"/>
  <c r="AG157" i="24"/>
  <c r="AG170" i="24" s="1"/>
  <c r="AF157" i="24"/>
  <c r="AF170" i="24" s="1"/>
  <c r="AE157" i="24"/>
  <c r="AE170" i="24" s="1"/>
  <c r="AD157" i="24"/>
  <c r="AD170" i="24" s="1"/>
  <c r="AC157" i="24"/>
  <c r="AC170" i="24" s="1"/>
  <c r="AB157" i="24"/>
  <c r="AB158" i="24" s="1"/>
  <c r="AA157" i="24"/>
  <c r="AA158" i="24" s="1"/>
  <c r="Z157" i="24"/>
  <c r="Z158" i="24" s="1"/>
  <c r="AX153" i="24"/>
  <c r="AX154" i="24" s="1"/>
  <c r="AX155" i="24" s="1"/>
  <c r="AX156" i="24" s="1"/>
  <c r="AX157" i="24" s="1"/>
  <c r="AX158" i="24" s="1"/>
  <c r="AX159" i="24" s="1"/>
  <c r="AX160" i="24" s="1"/>
  <c r="AX161" i="24" s="1"/>
  <c r="AX162" i="24" s="1"/>
  <c r="AX163" i="24" s="1"/>
  <c r="AL153" i="24"/>
  <c r="AK153" i="24"/>
  <c r="AJ153" i="24"/>
  <c r="AI153" i="24"/>
  <c r="AH153" i="24"/>
  <c r="AG153" i="24"/>
  <c r="AF153" i="24"/>
  <c r="AE153" i="24"/>
  <c r="AD153" i="24"/>
  <c r="AC153" i="24"/>
  <c r="AB153" i="24"/>
  <c r="AB154" i="24" s="1"/>
  <c r="AA153" i="24"/>
  <c r="AA154" i="24" s="1"/>
  <c r="Z153" i="24"/>
  <c r="Z154" i="24" s="1"/>
  <c r="BB147" i="24"/>
  <c r="AZ145" i="24"/>
  <c r="BB145" i="24" s="1"/>
  <c r="AZ123" i="24"/>
  <c r="BB123" i="24" s="1"/>
  <c r="BB129" i="24"/>
  <c r="M129" i="24"/>
  <c r="Q129" i="24" s="1"/>
  <c r="R129" i="24" s="1"/>
  <c r="T129" i="24" s="1"/>
  <c r="BB128" i="24"/>
  <c r="M128" i="24"/>
  <c r="O128" i="24" s="1"/>
  <c r="BB127" i="24"/>
  <c r="R127" i="24"/>
  <c r="T127" i="24" s="1"/>
  <c r="M127" i="24"/>
  <c r="O127" i="24" s="1"/>
  <c r="BB135" i="24"/>
  <c r="Q135" i="24"/>
  <c r="R135" i="24" s="1"/>
  <c r="T135" i="24" s="1"/>
  <c r="O135" i="24"/>
  <c r="BB134" i="24"/>
  <c r="M134" i="24"/>
  <c r="Q134" i="24" s="1"/>
  <c r="R134" i="24" s="1"/>
  <c r="T134" i="24" s="1"/>
  <c r="AV133" i="24"/>
  <c r="AZ133" i="24" s="1"/>
  <c r="R133" i="24"/>
  <c r="T133" i="24" s="1"/>
  <c r="O133" i="24"/>
  <c r="BB132" i="24"/>
  <c r="M132" i="24"/>
  <c r="O132" i="24" s="1"/>
  <c r="BB131" i="24"/>
  <c r="R131" i="24"/>
  <c r="T131" i="24" s="1"/>
  <c r="O131" i="24"/>
  <c r="AU126" i="24"/>
  <c r="R126" i="24"/>
  <c r="T126" i="24" s="1"/>
  <c r="O126" i="24"/>
  <c r="AX201" i="24"/>
  <c r="AX204" i="24" s="1"/>
  <c r="AZ200" i="24"/>
  <c r="BB200" i="24" s="1"/>
  <c r="AX122" i="24"/>
  <c r="R122" i="24"/>
  <c r="T122" i="24" s="1"/>
  <c r="O122" i="24"/>
  <c r="AZ121" i="24"/>
  <c r="BB121" i="24" s="1"/>
  <c r="T121" i="24"/>
  <c r="AZ120" i="24"/>
  <c r="BB120" i="24" s="1"/>
  <c r="M120" i="24"/>
  <c r="O120" i="24" s="1"/>
  <c r="AZ115" i="24"/>
  <c r="BB115" i="24" s="1"/>
  <c r="R115" i="24"/>
  <c r="T115" i="24" s="1"/>
  <c r="AZ114" i="24"/>
  <c r="BB114" i="24" s="1"/>
  <c r="M114" i="24"/>
  <c r="Q114" i="24" s="1"/>
  <c r="R114" i="24" s="1"/>
  <c r="T114" i="24" s="1"/>
  <c r="AZ113" i="24"/>
  <c r="BB113" i="24" s="1"/>
  <c r="M113" i="24"/>
  <c r="Q113" i="24" s="1"/>
  <c r="R113" i="24" s="1"/>
  <c r="T113" i="24" s="1"/>
  <c r="AZ112" i="24"/>
  <c r="BB112" i="24" s="1"/>
  <c r="M112" i="24"/>
  <c r="Q112" i="24" s="1"/>
  <c r="R112" i="24" s="1"/>
  <c r="T112" i="24" s="1"/>
  <c r="AZ111" i="24"/>
  <c r="BB111" i="24" s="1"/>
  <c r="M111" i="24"/>
  <c r="Q111" i="24" s="1"/>
  <c r="R111" i="24" s="1"/>
  <c r="T111" i="24" s="1"/>
  <c r="AZ110" i="24"/>
  <c r="BB110" i="24" s="1"/>
  <c r="M110" i="24"/>
  <c r="O110" i="24" s="1"/>
  <c r="AZ109" i="24"/>
  <c r="BB109" i="24" s="1"/>
  <c r="M109" i="24"/>
  <c r="O109" i="24" s="1"/>
  <c r="AZ108" i="24"/>
  <c r="BB108" i="24" s="1"/>
  <c r="AZ107" i="24"/>
  <c r="BB107" i="24" s="1"/>
  <c r="M107" i="24"/>
  <c r="Q107" i="24" s="1"/>
  <c r="R107" i="24" s="1"/>
  <c r="T107" i="24" s="1"/>
  <c r="AZ106" i="24"/>
  <c r="BB106" i="24" s="1"/>
  <c r="M106" i="24"/>
  <c r="Q106" i="24" s="1"/>
  <c r="R106" i="24" s="1"/>
  <c r="T106" i="24" s="1"/>
  <c r="AZ105" i="24"/>
  <c r="BB105" i="24" s="1"/>
  <c r="M105" i="24"/>
  <c r="Q105" i="24" s="1"/>
  <c r="R105" i="24" s="1"/>
  <c r="T105" i="24" s="1"/>
  <c r="AZ104" i="24"/>
  <c r="BB104" i="24" s="1"/>
  <c r="T104" i="24"/>
  <c r="O104" i="24"/>
  <c r="AZ103" i="24"/>
  <c r="BB103" i="24" s="1"/>
  <c r="M103" i="24"/>
  <c r="O103" i="24" s="1"/>
  <c r="AZ102" i="24"/>
  <c r="BB102" i="24" s="1"/>
  <c r="M102" i="24"/>
  <c r="Q102" i="24" s="1"/>
  <c r="R102" i="24" s="1"/>
  <c r="T102" i="24" s="1"/>
  <c r="AZ101" i="24"/>
  <c r="BB101" i="24" s="1"/>
  <c r="R101" i="24"/>
  <c r="T101" i="24" s="1"/>
  <c r="O101" i="24"/>
  <c r="BB196" i="24"/>
  <c r="AZ100" i="24"/>
  <c r="T100" i="24"/>
  <c r="AZ99" i="24"/>
  <c r="BB99" i="24" s="1"/>
  <c r="O99" i="24"/>
  <c r="AZ98" i="24"/>
  <c r="BB98" i="24" s="1"/>
  <c r="M98" i="24"/>
  <c r="O98" i="24" s="1"/>
  <c r="AZ97" i="24"/>
  <c r="BB97" i="24" s="1"/>
  <c r="M97" i="24"/>
  <c r="R97" i="24" s="1"/>
  <c r="T97" i="24" s="1"/>
  <c r="AZ96" i="24"/>
  <c r="BB96" i="24" s="1"/>
  <c r="T96" i="24"/>
  <c r="O96" i="24"/>
  <c r="AZ95" i="24"/>
  <c r="BB95" i="24" s="1"/>
  <c r="M95" i="24"/>
  <c r="O95" i="24" s="1"/>
  <c r="AZ94" i="24"/>
  <c r="BB94" i="24" s="1"/>
  <c r="M94" i="24"/>
  <c r="O94" i="24" s="1"/>
  <c r="AZ93" i="24"/>
  <c r="BB93" i="24" s="1"/>
  <c r="M93" i="24"/>
  <c r="R93" i="24" s="1"/>
  <c r="T93" i="24" s="1"/>
  <c r="AZ92" i="24"/>
  <c r="BB92" i="24" s="1"/>
  <c r="M92" i="24"/>
  <c r="O92" i="24" s="1"/>
  <c r="AZ91" i="24"/>
  <c r="BB91" i="24" s="1"/>
  <c r="M91" i="24"/>
  <c r="R91" i="24" s="1"/>
  <c r="T91" i="24" s="1"/>
  <c r="AZ90" i="24"/>
  <c r="BB90" i="24" s="1"/>
  <c r="M90" i="24"/>
  <c r="R90" i="24" s="1"/>
  <c r="T90" i="24" s="1"/>
  <c r="AZ89" i="24"/>
  <c r="BB89" i="24" s="1"/>
  <c r="R89" i="24"/>
  <c r="T89" i="24" s="1"/>
  <c r="AZ88" i="24"/>
  <c r="BB88" i="24" s="1"/>
  <c r="M88" i="24"/>
  <c r="Q88" i="24" s="1"/>
  <c r="R88" i="24" s="1"/>
  <c r="T88" i="24" s="1"/>
  <c r="AZ21" i="24"/>
  <c r="T21" i="24"/>
  <c r="O21" i="24"/>
  <c r="BB87" i="24"/>
  <c r="AZ22" i="24"/>
  <c r="BB22" i="24" s="1"/>
  <c r="Q22" i="24"/>
  <c r="T22" i="24" s="1"/>
  <c r="O22" i="24"/>
  <c r="AE130" i="24"/>
  <c r="AZ130" i="24" s="1"/>
  <c r="T130" i="24"/>
  <c r="AE84" i="24"/>
  <c r="AZ84" i="24" s="1"/>
  <c r="BB84" i="24" s="1"/>
  <c r="T84" i="24"/>
  <c r="O84" i="24"/>
  <c r="AE83" i="24"/>
  <c r="T83" i="24"/>
  <c r="O83" i="24"/>
  <c r="AZ82" i="24"/>
  <c r="BB82" i="24" s="1"/>
  <c r="T82" i="24"/>
  <c r="O82" i="24"/>
  <c r="AZ81" i="24"/>
  <c r="BB81" i="24" s="1"/>
  <c r="T81" i="24"/>
  <c r="O81" i="24"/>
  <c r="AZ80" i="24"/>
  <c r="BB80" i="24" s="1"/>
  <c r="T80" i="24"/>
  <c r="O80" i="24"/>
  <c r="AZ79" i="24"/>
  <c r="BB79" i="24" s="1"/>
  <c r="T79" i="24"/>
  <c r="O79" i="24"/>
  <c r="AZ78" i="24"/>
  <c r="BB78" i="24" s="1"/>
  <c r="T78" i="24"/>
  <c r="O78" i="24"/>
  <c r="AZ77" i="24"/>
  <c r="BB77" i="24" s="1"/>
  <c r="T77" i="24"/>
  <c r="O77" i="24"/>
  <c r="AZ76" i="24"/>
  <c r="BB76" i="24" s="1"/>
  <c r="T76" i="24"/>
  <c r="AZ75" i="24"/>
  <c r="BB75" i="24" s="1"/>
  <c r="T75" i="24"/>
  <c r="AZ74" i="24"/>
  <c r="BB74" i="24" s="1"/>
  <c r="T74" i="24"/>
  <c r="O74" i="24"/>
  <c r="AZ73" i="24"/>
  <c r="BB73" i="24" s="1"/>
  <c r="T73" i="24"/>
  <c r="O73" i="24"/>
  <c r="AZ72" i="24"/>
  <c r="BB72" i="24" s="1"/>
  <c r="T72" i="24"/>
  <c r="O72" i="24"/>
  <c r="AZ71" i="24"/>
  <c r="BB71" i="24" s="1"/>
  <c r="T71" i="24"/>
  <c r="AZ70" i="24"/>
  <c r="BB70" i="24" s="1"/>
  <c r="T70" i="24"/>
  <c r="BB69" i="24"/>
  <c r="T67" i="24"/>
  <c r="O67" i="24"/>
  <c r="BB66" i="24"/>
  <c r="AD64" i="24"/>
  <c r="T64" i="24"/>
  <c r="O64" i="24"/>
  <c r="AZ63" i="24"/>
  <c r="BB63" i="24" s="1"/>
  <c r="T63" i="24"/>
  <c r="O63" i="24"/>
  <c r="AZ61" i="24"/>
  <c r="BB61" i="24" s="1"/>
  <c r="T61" i="24"/>
  <c r="AZ62" i="24"/>
  <c r="R62" i="24"/>
  <c r="T62" i="24" s="1"/>
  <c r="O62" i="24"/>
  <c r="AC60" i="24"/>
  <c r="T60" i="24"/>
  <c r="O60" i="24"/>
  <c r="AZ59" i="24"/>
  <c r="BB59" i="24" s="1"/>
  <c r="T59" i="24"/>
  <c r="O59" i="24"/>
  <c r="AZ58" i="24"/>
  <c r="BB58" i="24" s="1"/>
  <c r="T58" i="24"/>
  <c r="O58" i="24"/>
  <c r="BB57" i="24"/>
  <c r="AZ55" i="24"/>
  <c r="X55" i="24"/>
  <c r="T55" i="24"/>
  <c r="O55" i="24"/>
  <c r="AZ54" i="24"/>
  <c r="X54" i="24"/>
  <c r="T54" i="24"/>
  <c r="O54" i="24"/>
  <c r="BB53" i="24"/>
  <c r="AZ51" i="24"/>
  <c r="BB51" i="24" s="1"/>
  <c r="T51" i="24"/>
  <c r="O51" i="24"/>
  <c r="BB50" i="24"/>
  <c r="AZ48" i="24"/>
  <c r="BB48" i="24" s="1"/>
  <c r="T48" i="24"/>
  <c r="O48" i="24"/>
  <c r="AD47" i="24"/>
  <c r="AZ47" i="24" s="1"/>
  <c r="BB47" i="24" s="1"/>
  <c r="T47" i="24"/>
  <c r="O47" i="24"/>
  <c r="AD46" i="24"/>
  <c r="AC46" i="24"/>
  <c r="T46" i="24"/>
  <c r="O46" i="24"/>
  <c r="BB45" i="24"/>
  <c r="AZ43" i="24"/>
  <c r="BB43" i="24" s="1"/>
  <c r="T43" i="24"/>
  <c r="AZ42" i="24"/>
  <c r="X42" i="24"/>
  <c r="AZ39" i="24"/>
  <c r="BB39" i="24" s="1"/>
  <c r="T39" i="24"/>
  <c r="O39" i="24"/>
  <c r="AZ38" i="24"/>
  <c r="BB38" i="24" s="1"/>
  <c r="AZ37" i="24"/>
  <c r="BB37" i="24" s="1"/>
  <c r="T37" i="24"/>
  <c r="O37" i="24"/>
  <c r="AZ36" i="24"/>
  <c r="BB36" i="24" s="1"/>
  <c r="T36" i="24"/>
  <c r="O36" i="24"/>
  <c r="AD35" i="24"/>
  <c r="T35" i="24"/>
  <c r="O35" i="24"/>
  <c r="AF34" i="24"/>
  <c r="AZ34" i="24" s="1"/>
  <c r="BB34" i="24" s="1"/>
  <c r="T34" i="24"/>
  <c r="O34" i="24"/>
  <c r="AF33" i="24"/>
  <c r="AC33" i="24"/>
  <c r="X33" i="24"/>
  <c r="T33" i="24"/>
  <c r="O33" i="24"/>
  <c r="AZ32" i="24"/>
  <c r="BB32" i="24" s="1"/>
  <c r="T32" i="24"/>
  <c r="O32" i="24"/>
  <c r="AZ31" i="24"/>
  <c r="BB31" i="24" s="1"/>
  <c r="T31" i="24"/>
  <c r="O31" i="24"/>
  <c r="AZ30" i="24"/>
  <c r="BB30" i="24" s="1"/>
  <c r="T30" i="24"/>
  <c r="AZ27" i="24"/>
  <c r="BB27" i="24" s="1"/>
  <c r="T27" i="24"/>
  <c r="O27" i="24"/>
  <c r="AZ26" i="24"/>
  <c r="BB26" i="24" s="1"/>
  <c r="T26" i="24"/>
  <c r="O26" i="24"/>
  <c r="AZ25" i="24"/>
  <c r="BB25" i="24" s="1"/>
  <c r="T25" i="24"/>
  <c r="O25" i="24"/>
  <c r="AZ9" i="24"/>
  <c r="BB9" i="24" s="1"/>
  <c r="T9" i="24"/>
  <c r="O9" i="24"/>
  <c r="AZ8" i="24"/>
  <c r="BB8" i="24" s="1"/>
  <c r="T8" i="24"/>
  <c r="O8" i="24"/>
  <c r="AZ20" i="24"/>
  <c r="BB20" i="24" s="1"/>
  <c r="T20" i="24"/>
  <c r="O20" i="24"/>
  <c r="AZ19" i="24"/>
  <c r="BB19" i="24" s="1"/>
  <c r="T19" i="24"/>
  <c r="O19" i="24"/>
  <c r="AZ18" i="24"/>
  <c r="BB18" i="24" s="1"/>
  <c r="T18" i="24"/>
  <c r="O18" i="24"/>
  <c r="AZ17" i="24"/>
  <c r="BB17" i="24" s="1"/>
  <c r="T17" i="24"/>
  <c r="O17" i="24"/>
  <c r="AD16" i="24"/>
  <c r="AZ16" i="24" s="1"/>
  <c r="X16" i="24"/>
  <c r="T16" i="24"/>
  <c r="M16" i="24"/>
  <c r="O16" i="24" s="1"/>
  <c r="AE15" i="24"/>
  <c r="T15" i="24"/>
  <c r="O15" i="24"/>
  <c r="AD14" i="24"/>
  <c r="AZ14" i="24" s="1"/>
  <c r="BB14" i="24" s="1"/>
  <c r="T14" i="24"/>
  <c r="O14" i="24"/>
  <c r="AF13" i="24"/>
  <c r="AD13" i="24"/>
  <c r="T13" i="24"/>
  <c r="O13" i="24"/>
  <c r="AD12" i="24"/>
  <c r="T12" i="24"/>
  <c r="O12" i="24"/>
  <c r="AZ11" i="24"/>
  <c r="BB11" i="24" s="1"/>
  <c r="T11" i="24"/>
  <c r="O11" i="24"/>
  <c r="AZ10" i="24"/>
  <c r="BB10" i="24" s="1"/>
  <c r="T10" i="24"/>
  <c r="O10" i="24"/>
  <c r="AZ7" i="24"/>
  <c r="BB7" i="24" s="1"/>
  <c r="T7" i="24"/>
  <c r="O7" i="24"/>
  <c r="AZ6" i="24"/>
  <c r="BB6" i="24" s="1"/>
  <c r="T6" i="24"/>
  <c r="O6" i="24"/>
  <c r="AZ5" i="24"/>
  <c r="BB5" i="24" s="1"/>
  <c r="T5" i="24"/>
  <c r="O5" i="24"/>
  <c r="AZ4" i="24"/>
  <c r="X4" i="24"/>
  <c r="T4" i="24"/>
  <c r="O4" i="24"/>
  <c r="AG137" i="19"/>
  <c r="AF137" i="19"/>
  <c r="AE137" i="19"/>
  <c r="AD137" i="19"/>
  <c r="AC137" i="19"/>
  <c r="AB137" i="19"/>
  <c r="AA137" i="19"/>
  <c r="Z137" i="19"/>
  <c r="Y137" i="19"/>
  <c r="X137" i="19"/>
  <c r="W137" i="19"/>
  <c r="V137" i="19"/>
  <c r="AH87" i="19"/>
  <c r="AH137" i="19" s="1"/>
  <c r="AH84" i="19"/>
  <c r="AH66" i="19"/>
  <c r="AH63" i="19"/>
  <c r="AH50" i="19"/>
  <c r="AH47" i="19"/>
  <c r="AH38" i="19"/>
  <c r="AH21" i="19"/>
  <c r="BB62" i="24" l="1"/>
  <c r="AZ65" i="24"/>
  <c r="BB21" i="24"/>
  <c r="AZ23" i="24"/>
  <c r="AZ126" i="24"/>
  <c r="AZ201" i="24"/>
  <c r="BB201" i="24" s="1"/>
  <c r="BB130" i="24"/>
  <c r="BB133" i="24"/>
  <c r="AZ60" i="24"/>
  <c r="BB60" i="24" s="1"/>
  <c r="AZ13" i="24"/>
  <c r="BB13" i="24" s="1"/>
  <c r="Q108" i="24"/>
  <c r="R108" i="24" s="1"/>
  <c r="T108" i="24" s="1"/>
  <c r="O108" i="24"/>
  <c r="BB16" i="24"/>
  <c r="AB170" i="24"/>
  <c r="AB171" i="24" s="1"/>
  <c r="AZ83" i="24"/>
  <c r="BB83" i="24" s="1"/>
  <c r="BB4" i="24"/>
  <c r="AZ204" i="24"/>
  <c r="BB204" i="24" s="1"/>
  <c r="BB54" i="24"/>
  <c r="BB55" i="24"/>
  <c r="BB42" i="24"/>
  <c r="AZ33" i="24"/>
  <c r="BB33" i="24" s="1"/>
  <c r="AZ35" i="24"/>
  <c r="BB35" i="24" s="1"/>
  <c r="R99" i="24"/>
  <c r="T99" i="24" s="1"/>
  <c r="Q109" i="24"/>
  <c r="R109" i="24" s="1"/>
  <c r="T109" i="24" s="1"/>
  <c r="O97" i="24"/>
  <c r="O134" i="24"/>
  <c r="T95" i="24"/>
  <c r="Q128" i="24"/>
  <c r="R128" i="24" s="1"/>
  <c r="T128" i="24" s="1"/>
  <c r="O111" i="24"/>
  <c r="Q92" i="24"/>
  <c r="R92" i="24" s="1"/>
  <c r="T92" i="24" s="1"/>
  <c r="O121" i="24"/>
  <c r="R94" i="24"/>
  <c r="T94" i="24" s="1"/>
  <c r="O100" i="24"/>
  <c r="Q110" i="24"/>
  <c r="R110" i="24" s="1"/>
  <c r="T110" i="24" s="1"/>
  <c r="O93" i="24"/>
  <c r="O113" i="24"/>
  <c r="O129" i="24"/>
  <c r="R98" i="24"/>
  <c r="T98" i="24" s="1"/>
  <c r="Q103" i="24"/>
  <c r="R103" i="24" s="1"/>
  <c r="T103" i="24" s="1"/>
  <c r="O115" i="24"/>
  <c r="BB52" i="24"/>
  <c r="O106" i="24"/>
  <c r="O91" i="24"/>
  <c r="Q120" i="24"/>
  <c r="R120" i="24" s="1"/>
  <c r="T120" i="24" s="1"/>
  <c r="O89" i="24"/>
  <c r="O102" i="24"/>
  <c r="Q132" i="24"/>
  <c r="R132" i="24" s="1"/>
  <c r="T132" i="24" s="1"/>
  <c r="O90" i="24"/>
  <c r="O107" i="24"/>
  <c r="O114" i="24"/>
  <c r="AZ122" i="24"/>
  <c r="BB122" i="24" s="1"/>
  <c r="BB100" i="24"/>
  <c r="AZ12" i="24"/>
  <c r="BB12" i="24" s="1"/>
  <c r="AZ15" i="24"/>
  <c r="BB15" i="24" s="1"/>
  <c r="AZ64" i="24"/>
  <c r="BB64" i="24" s="1"/>
  <c r="O88" i="24"/>
  <c r="O105" i="24"/>
  <c r="O112" i="24"/>
  <c r="AZ46" i="24"/>
  <c r="BB46" i="24" s="1"/>
  <c r="Z170" i="24"/>
  <c r="BB126" i="24"/>
  <c r="AA170" i="24"/>
  <c r="AA171" i="24" s="1"/>
  <c r="AL150" i="24" l="1"/>
  <c r="AR150" i="24"/>
  <c r="AN150" i="24"/>
  <c r="AM150" i="24"/>
  <c r="AS150" i="24"/>
  <c r="AG150" i="24"/>
  <c r="AX150" i="24"/>
  <c r="AH150" i="24"/>
  <c r="AV150" i="24"/>
  <c r="AI150" i="24"/>
  <c r="Z150" i="24"/>
  <c r="AP150" i="24"/>
  <c r="AQ150" i="24"/>
  <c r="AT150" i="24"/>
  <c r="AJ150" i="24"/>
  <c r="AW150" i="24"/>
  <c r="AB150" i="24"/>
  <c r="AF150" i="24"/>
  <c r="AE150" i="24"/>
  <c r="AU150" i="24"/>
  <c r="AA150" i="24"/>
  <c r="Y150" i="24"/>
  <c r="AO150" i="24"/>
  <c r="BB23" i="24"/>
  <c r="BB56" i="24"/>
  <c r="AL170" i="24"/>
  <c r="Z171" i="24"/>
  <c r="AC150" i="24" l="1"/>
  <c r="AU135" i="19"/>
  <c r="AG87" i="19"/>
  <c r="AI87" i="19"/>
  <c r="AJ87" i="19"/>
  <c r="AK87" i="19"/>
  <c r="AL87" i="19"/>
  <c r="AM87" i="19"/>
  <c r="AM135" i="19" s="1"/>
  <c r="AN87" i="19"/>
  <c r="AO87" i="19"/>
  <c r="AP87" i="19"/>
  <c r="AQ87" i="19"/>
  <c r="AR87" i="19"/>
  <c r="AS87" i="19"/>
  <c r="AT87" i="19"/>
  <c r="AU87" i="19"/>
  <c r="AV87" i="19"/>
  <c r="AH135" i="19"/>
  <c r="AM84" i="19"/>
  <c r="AP84" i="19"/>
  <c r="AP135" i="19" s="1"/>
  <c r="AU84" i="19"/>
  <c r="AE66" i="19"/>
  <c r="AF66" i="19"/>
  <c r="AF84" i="19" s="1"/>
  <c r="AG66" i="19"/>
  <c r="AG84" i="19" s="1"/>
  <c r="AI66" i="19"/>
  <c r="AI84" i="19" s="1"/>
  <c r="AI135" i="19" s="1"/>
  <c r="AJ66" i="19"/>
  <c r="AJ84" i="19" s="1"/>
  <c r="AJ135" i="19" s="1"/>
  <c r="AK66" i="19"/>
  <c r="AK84" i="19" s="1"/>
  <c r="AK135" i="19" s="1"/>
  <c r="AL66" i="19"/>
  <c r="AL84" i="19" s="1"/>
  <c r="AL135" i="19" s="1"/>
  <c r="AM66" i="19"/>
  <c r="AN66" i="19"/>
  <c r="AN84" i="19" s="1"/>
  <c r="AN135" i="19" s="1"/>
  <c r="AO66" i="19"/>
  <c r="AO84" i="19" s="1"/>
  <c r="AO135" i="19" s="1"/>
  <c r="AP66" i="19"/>
  <c r="AQ66" i="19"/>
  <c r="AQ84" i="19" s="1"/>
  <c r="AQ135" i="19" s="1"/>
  <c r="AR66" i="19"/>
  <c r="AR84" i="19" s="1"/>
  <c r="AR135" i="19" s="1"/>
  <c r="AS66" i="19"/>
  <c r="AS84" i="19" s="1"/>
  <c r="AS135" i="19" s="1"/>
  <c r="AT66" i="19"/>
  <c r="AT84" i="19" s="1"/>
  <c r="AT135" i="19" s="1"/>
  <c r="AU66" i="19"/>
  <c r="AV66" i="19"/>
  <c r="AV84" i="19" s="1"/>
  <c r="AV135" i="19" s="1"/>
  <c r="AD63" i="19"/>
  <c r="AE63" i="19"/>
  <c r="AF63" i="19"/>
  <c r="AG63" i="19"/>
  <c r="AI63" i="19"/>
  <c r="AJ63" i="19"/>
  <c r="AK63" i="19"/>
  <c r="AL63" i="19"/>
  <c r="AM63" i="19"/>
  <c r="AN63" i="19"/>
  <c r="AO63" i="19"/>
  <c r="AP63" i="19"/>
  <c r="AQ63" i="19"/>
  <c r="AR63" i="19"/>
  <c r="AS63" i="19"/>
  <c r="AT63" i="19"/>
  <c r="AU63" i="19"/>
  <c r="AV63" i="19"/>
  <c r="AC54" i="19"/>
  <c r="AD54" i="19"/>
  <c r="AE54" i="19"/>
  <c r="AF54" i="19"/>
  <c r="AG54" i="19"/>
  <c r="AH54" i="19"/>
  <c r="AI54" i="19"/>
  <c r="AJ54" i="19"/>
  <c r="AK54" i="19"/>
  <c r="AL54" i="19"/>
  <c r="AM54" i="19"/>
  <c r="AN54" i="19"/>
  <c r="AO54" i="19"/>
  <c r="AP54" i="19"/>
  <c r="AQ54" i="19"/>
  <c r="AR54" i="19"/>
  <c r="AS54" i="19"/>
  <c r="AT54" i="19"/>
  <c r="AU54" i="19"/>
  <c r="AV54" i="19"/>
  <c r="AB50" i="19"/>
  <c r="AC50" i="19"/>
  <c r="AD50" i="19"/>
  <c r="AE50" i="19"/>
  <c r="AF50" i="19"/>
  <c r="AG50" i="19"/>
  <c r="AI50" i="19"/>
  <c r="AJ50" i="19"/>
  <c r="AK50" i="19"/>
  <c r="AL50" i="19"/>
  <c r="AM50" i="19"/>
  <c r="AN50" i="19"/>
  <c r="AO50" i="19"/>
  <c r="AP50" i="19"/>
  <c r="AQ50" i="19"/>
  <c r="AR50" i="19"/>
  <c r="AS50" i="19"/>
  <c r="AT50" i="19"/>
  <c r="AU50" i="19"/>
  <c r="AV50" i="19"/>
  <c r="AA47" i="19"/>
  <c r="AB47" i="19"/>
  <c r="AC47" i="19"/>
  <c r="AD47" i="19"/>
  <c r="AE47" i="19"/>
  <c r="AF47" i="19"/>
  <c r="AG47" i="19"/>
  <c r="AI47" i="19"/>
  <c r="AJ47" i="19"/>
  <c r="AK47" i="19"/>
  <c r="AL47" i="19"/>
  <c r="AM47" i="19"/>
  <c r="AN47" i="19"/>
  <c r="AO47" i="19"/>
  <c r="AP47" i="19"/>
  <c r="AQ47" i="19"/>
  <c r="AR47" i="19"/>
  <c r="AS47" i="19"/>
  <c r="AT47" i="19"/>
  <c r="AU47" i="19"/>
  <c r="AV47" i="19"/>
  <c r="Z42" i="19"/>
  <c r="AA42" i="19"/>
  <c r="AB42" i="19"/>
  <c r="AC42" i="19"/>
  <c r="AD42" i="19"/>
  <c r="AE42" i="19"/>
  <c r="AF42" i="19"/>
  <c r="AG42" i="19"/>
  <c r="AH42" i="19"/>
  <c r="AI42" i="19"/>
  <c r="AJ42" i="19"/>
  <c r="AK42" i="19"/>
  <c r="AL42" i="19"/>
  <c r="AM42" i="19"/>
  <c r="AN42" i="19"/>
  <c r="AO42" i="19"/>
  <c r="AP42" i="19"/>
  <c r="AQ42" i="19"/>
  <c r="AR42" i="19"/>
  <c r="AS42" i="19"/>
  <c r="AT42" i="19"/>
  <c r="AU42" i="19"/>
  <c r="AV42" i="19"/>
  <c r="Y38" i="19"/>
  <c r="Z38" i="19"/>
  <c r="AA38" i="19"/>
  <c r="AB38" i="19"/>
  <c r="AC38" i="19"/>
  <c r="AD38" i="19"/>
  <c r="AE38" i="19"/>
  <c r="AF38" i="19"/>
  <c r="AG38" i="19"/>
  <c r="AI38" i="19"/>
  <c r="AJ38" i="19"/>
  <c r="AK38" i="19"/>
  <c r="AL38" i="19"/>
  <c r="AM38" i="19"/>
  <c r="AN38" i="19"/>
  <c r="AO38" i="19"/>
  <c r="AP38" i="19"/>
  <c r="AQ38" i="19"/>
  <c r="AR38" i="19"/>
  <c r="AS38" i="19"/>
  <c r="AT38" i="19"/>
  <c r="AU38" i="19"/>
  <c r="AV38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26" i="19"/>
  <c r="AT26" i="19"/>
  <c r="AU26" i="19"/>
  <c r="AV26" i="19"/>
  <c r="X21" i="19"/>
  <c r="Y21" i="19"/>
  <c r="Z21" i="19"/>
  <c r="AA21" i="19"/>
  <c r="AB21" i="19"/>
  <c r="AC21" i="19"/>
  <c r="AD21" i="19"/>
  <c r="AE21" i="19"/>
  <c r="AF21" i="19"/>
  <c r="AG21" i="19"/>
  <c r="AI21" i="19"/>
  <c r="AJ21" i="19"/>
  <c r="AK21" i="19"/>
  <c r="AL21" i="19"/>
  <c r="AM21" i="19"/>
  <c r="AN21" i="19"/>
  <c r="AO21" i="19"/>
  <c r="AP21" i="19"/>
  <c r="AQ21" i="19"/>
  <c r="AR21" i="19"/>
  <c r="AS21" i="19"/>
  <c r="AT21" i="19"/>
  <c r="AU21" i="19"/>
  <c r="AV21" i="19"/>
  <c r="BB40" i="24" l="1"/>
  <c r="AQ137" i="19"/>
  <c r="AV137" i="19"/>
  <c r="AN137" i="19"/>
  <c r="AO137" i="19"/>
  <c r="AU137" i="19"/>
  <c r="AM137" i="19"/>
  <c r="AT137" i="19"/>
  <c r="AL137" i="19"/>
  <c r="AK137" i="19"/>
  <c r="AS137" i="19"/>
  <c r="AR137" i="19"/>
  <c r="AJ137" i="19"/>
  <c r="AI137" i="19"/>
  <c r="AP137" i="19"/>
  <c r="AV142" i="19"/>
  <c r="AV143" i="19" s="1"/>
  <c r="AV144" i="19" s="1"/>
  <c r="AV145" i="19" s="1"/>
  <c r="AV146" i="19" s="1"/>
  <c r="AV147" i="19" s="1"/>
  <c r="AV148" i="19" s="1"/>
  <c r="AV149" i="19" s="1"/>
  <c r="AV150" i="19" s="1"/>
  <c r="AV151" i="19" s="1"/>
  <c r="AV152" i="19" s="1"/>
  <c r="AX46" i="19"/>
  <c r="AX30" i="19"/>
  <c r="AX34" i="19"/>
  <c r="AX7" i="19"/>
  <c r="AX8" i="19"/>
  <c r="AX9" i="19"/>
  <c r="AX15" i="19"/>
  <c r="AX16" i="19"/>
  <c r="AX17" i="19"/>
  <c r="X87" i="19"/>
  <c r="Y87" i="19"/>
  <c r="Z87" i="19"/>
  <c r="AA87" i="19"/>
  <c r="AB87" i="19"/>
  <c r="AC87" i="19"/>
  <c r="AD87" i="19"/>
  <c r="AE87" i="19"/>
  <c r="AF87" i="19"/>
  <c r="AF135" i="19" s="1"/>
  <c r="W87" i="19"/>
  <c r="AE84" i="19"/>
  <c r="AE135" i="19" s="1"/>
  <c r="AG135" i="19"/>
  <c r="V87" i="19"/>
  <c r="V63" i="19"/>
  <c r="X38" i="19"/>
  <c r="W38" i="19"/>
  <c r="W21" i="19"/>
  <c r="BB44" i="24" l="1"/>
  <c r="X63" i="19"/>
  <c r="Y63" i="19"/>
  <c r="Z63" i="19"/>
  <c r="AC63" i="19"/>
  <c r="W63" i="19"/>
  <c r="AX57" i="19"/>
  <c r="AX60" i="19"/>
  <c r="AX61" i="19"/>
  <c r="AT127" i="19"/>
  <c r="AS124" i="19"/>
  <c r="AV123" i="19"/>
  <c r="AV121" i="19"/>
  <c r="Q98" i="19"/>
  <c r="BB49" i="24" l="1"/>
  <c r="AX183" i="19"/>
  <c r="AX131" i="19"/>
  <c r="AX132" i="19"/>
  <c r="AX125" i="19"/>
  <c r="AX126" i="19"/>
  <c r="AX128" i="19"/>
  <c r="AX129" i="19"/>
  <c r="AX115" i="19"/>
  <c r="AZ115" i="19" s="1"/>
  <c r="AX116" i="19"/>
  <c r="AZ116" i="19" s="1"/>
  <c r="AX117" i="19"/>
  <c r="AZ117" i="19" s="1"/>
  <c r="AX118" i="19"/>
  <c r="AZ118" i="19" s="1"/>
  <c r="AX119" i="19"/>
  <c r="AZ119" i="19" s="1"/>
  <c r="AX120" i="19"/>
  <c r="AZ120" i="19" s="1"/>
  <c r="AX133" i="19"/>
  <c r="AZ133" i="19" s="1"/>
  <c r="AX134" i="19"/>
  <c r="AZ134" i="19" s="1"/>
  <c r="AX163" i="19"/>
  <c r="Q125" i="19"/>
  <c r="Q89" i="19"/>
  <c r="BB65" i="24" l="1"/>
  <c r="BB86" i="24"/>
  <c r="S125" i="19"/>
  <c r="L115" i="19"/>
  <c r="P115" i="19" s="1"/>
  <c r="L116" i="19"/>
  <c r="P116" i="19" s="1"/>
  <c r="L117" i="19"/>
  <c r="N117" i="19" s="1"/>
  <c r="L118" i="19"/>
  <c r="N118" i="19" s="1"/>
  <c r="L119" i="19"/>
  <c r="N119" i="19" s="1"/>
  <c r="L120" i="19"/>
  <c r="N120" i="19" s="1"/>
  <c r="L114" i="19"/>
  <c r="N114" i="19" s="1"/>
  <c r="L113" i="19"/>
  <c r="P113" i="19" s="1"/>
  <c r="Q113" i="19" l="1"/>
  <c r="S113" i="19" s="1"/>
  <c r="Q116" i="19"/>
  <c r="S116" i="19" s="1"/>
  <c r="P120" i="19"/>
  <c r="Q120" i="19" s="1"/>
  <c r="S120" i="19" s="1"/>
  <c r="Q115" i="19"/>
  <c r="S115" i="19" s="1"/>
  <c r="P119" i="19"/>
  <c r="P117" i="19"/>
  <c r="N116" i="19"/>
  <c r="P114" i="19"/>
  <c r="P118" i="19"/>
  <c r="N115" i="19"/>
  <c r="N113" i="19"/>
  <c r="BB146" i="24" l="1"/>
  <c r="Q119" i="19"/>
  <c r="S119" i="19" s="1"/>
  <c r="Q118" i="19"/>
  <c r="S118" i="19" s="1"/>
  <c r="Q114" i="19"/>
  <c r="S114" i="19" s="1"/>
  <c r="Q117" i="19"/>
  <c r="S117" i="19" s="1"/>
  <c r="AK190" i="19"/>
  <c r="AL190" i="19"/>
  <c r="AM190" i="19"/>
  <c r="AN190" i="19"/>
  <c r="AO190" i="19"/>
  <c r="AP190" i="19"/>
  <c r="AQ190" i="19"/>
  <c r="AR190" i="19"/>
  <c r="AS190" i="19"/>
  <c r="AT190" i="19"/>
  <c r="AU190" i="19"/>
  <c r="AV190" i="19"/>
  <c r="AX111" i="19"/>
  <c r="AZ111" i="19" s="1"/>
  <c r="AX112" i="19"/>
  <c r="AZ112" i="19" s="1"/>
  <c r="AX113" i="19"/>
  <c r="AZ113" i="19" s="1"/>
  <c r="AX114" i="19"/>
  <c r="AZ114" i="19" s="1"/>
  <c r="AD150" i="24" l="1"/>
  <c r="L111" i="19"/>
  <c r="P111" i="19" s="1"/>
  <c r="Q111" i="19" s="1"/>
  <c r="S111" i="19" s="1"/>
  <c r="Q107" i="19"/>
  <c r="S107" i="19" s="1"/>
  <c r="L112" i="19"/>
  <c r="P112" i="19" s="1"/>
  <c r="Q59" i="19"/>
  <c r="L131" i="19"/>
  <c r="P131" i="19" s="1"/>
  <c r="Q131" i="19" s="1"/>
  <c r="S131" i="19" s="1"/>
  <c r="L132" i="19"/>
  <c r="P132" i="19" s="1"/>
  <c r="Q132" i="19" s="1"/>
  <c r="S132" i="19" s="1"/>
  <c r="L128" i="19"/>
  <c r="P128" i="19" s="1"/>
  <c r="L126" i="19"/>
  <c r="P126" i="19" s="1"/>
  <c r="L130" i="19"/>
  <c r="L90" i="19"/>
  <c r="P90" i="19" s="1"/>
  <c r="Q90" i="19" s="1"/>
  <c r="L91" i="19"/>
  <c r="P91" i="19" s="1"/>
  <c r="Q91" i="19" s="1"/>
  <c r="L92" i="19"/>
  <c r="P92" i="19" s="1"/>
  <c r="Q92" i="19" s="1"/>
  <c r="L93" i="19"/>
  <c r="P93" i="19" s="1"/>
  <c r="Q93" i="19" s="1"/>
  <c r="L94" i="19"/>
  <c r="P94" i="19" s="1"/>
  <c r="Q94" i="19" s="1"/>
  <c r="L95" i="19"/>
  <c r="P95" i="19" s="1"/>
  <c r="Q95" i="19" s="1"/>
  <c r="L96" i="19"/>
  <c r="P96" i="19" s="1"/>
  <c r="Q96" i="19" s="1"/>
  <c r="L97" i="19"/>
  <c r="P97" i="19" s="1"/>
  <c r="Q97" i="19" s="1"/>
  <c r="L99" i="19"/>
  <c r="P99" i="19" s="1"/>
  <c r="Q99" i="19" s="1"/>
  <c r="L100" i="19"/>
  <c r="P100" i="19" s="1"/>
  <c r="Q100" i="19" s="1"/>
  <c r="L101" i="19"/>
  <c r="P101" i="19" s="1"/>
  <c r="Q101" i="19" s="1"/>
  <c r="L102" i="19"/>
  <c r="P102" i="19" s="1"/>
  <c r="L103" i="19"/>
  <c r="P103" i="19" s="1"/>
  <c r="Q103" i="19" s="1"/>
  <c r="S103" i="19" s="1"/>
  <c r="P104" i="19"/>
  <c r="Q104" i="19" s="1"/>
  <c r="S104" i="19" s="1"/>
  <c r="L105" i="19"/>
  <c r="P105" i="19" s="1"/>
  <c r="L106" i="19"/>
  <c r="P106" i="19" s="1"/>
  <c r="L108" i="19"/>
  <c r="P108" i="19" s="1"/>
  <c r="L109" i="19"/>
  <c r="P109" i="19" s="1"/>
  <c r="L110" i="19"/>
  <c r="P110" i="19" s="1"/>
  <c r="L121" i="19"/>
  <c r="L123" i="19"/>
  <c r="L122" i="19"/>
  <c r="P122" i="19" s="1"/>
  <c r="Q124" i="19"/>
  <c r="S124" i="19" s="1"/>
  <c r="Q110" i="19" l="1"/>
  <c r="S110" i="19" s="1"/>
  <c r="Q112" i="19"/>
  <c r="S112" i="19" s="1"/>
  <c r="Q109" i="19"/>
  <c r="S109" i="19" s="1"/>
  <c r="Q130" i="19"/>
  <c r="S130" i="19" s="1"/>
  <c r="Q126" i="19"/>
  <c r="S126" i="19" s="1"/>
  <c r="Q106" i="19"/>
  <c r="S106" i="19" s="1"/>
  <c r="Q105" i="19"/>
  <c r="S105" i="19" s="1"/>
  <c r="Q108" i="19"/>
  <c r="S108" i="19" s="1"/>
  <c r="Q128" i="19"/>
  <c r="S128" i="19" s="1"/>
  <c r="Q122" i="19"/>
  <c r="S122" i="19" s="1"/>
  <c r="Q123" i="19"/>
  <c r="S123" i="19" s="1"/>
  <c r="Q121" i="19"/>
  <c r="S121" i="19" s="1"/>
  <c r="N112" i="19"/>
  <c r="AZ43" i="19"/>
  <c r="AZ48" i="19"/>
  <c r="AZ51" i="19"/>
  <c r="AZ55" i="19"/>
  <c r="AZ64" i="19"/>
  <c r="AZ67" i="19"/>
  <c r="AZ85" i="19"/>
  <c r="AZ88" i="19"/>
  <c r="AZ183" i="19"/>
  <c r="AZ103" i="19"/>
  <c r="AZ131" i="19"/>
  <c r="AZ132" i="19"/>
  <c r="AZ162" i="19"/>
  <c r="AZ136" i="19"/>
  <c r="Z155" i="19" l="1"/>
  <c r="Y155" i="19"/>
  <c r="X155" i="19"/>
  <c r="Z151" i="19"/>
  <c r="Y151" i="19"/>
  <c r="X151" i="19"/>
  <c r="AJ146" i="19"/>
  <c r="AI146" i="19"/>
  <c r="AI159" i="19" s="1"/>
  <c r="AH146" i="19"/>
  <c r="AH159" i="19" s="1"/>
  <c r="AG146" i="19"/>
  <c r="AG159" i="19" s="1"/>
  <c r="AF146" i="19"/>
  <c r="AF159" i="19" s="1"/>
  <c r="AE146" i="19"/>
  <c r="AE159" i="19" s="1"/>
  <c r="AD146" i="19"/>
  <c r="AD159" i="19" s="1"/>
  <c r="AC146" i="19"/>
  <c r="AC159" i="19" s="1"/>
  <c r="AB146" i="19"/>
  <c r="AB159" i="19" s="1"/>
  <c r="AA146" i="19"/>
  <c r="AA159" i="19" s="1"/>
  <c r="Z146" i="19"/>
  <c r="Z147" i="19" s="1"/>
  <c r="Y146" i="19"/>
  <c r="Y147" i="19" s="1"/>
  <c r="X146" i="19"/>
  <c r="X147" i="19" s="1"/>
  <c r="AJ142" i="19"/>
  <c r="AI142" i="19"/>
  <c r="AH142" i="19"/>
  <c r="AG142" i="19"/>
  <c r="AF142" i="19"/>
  <c r="AE142" i="19"/>
  <c r="AD142" i="19"/>
  <c r="AC142" i="19"/>
  <c r="AB142" i="19"/>
  <c r="AA142" i="19"/>
  <c r="Z142" i="19"/>
  <c r="Z143" i="19" s="1"/>
  <c r="Y142" i="19"/>
  <c r="Y143" i="19" s="1"/>
  <c r="X142" i="19"/>
  <c r="X143" i="19" s="1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AX189" i="19"/>
  <c r="AZ189" i="19" s="1"/>
  <c r="AX188" i="19"/>
  <c r="AZ188" i="19" s="1"/>
  <c r="AX187" i="19"/>
  <c r="AZ187" i="19" s="1"/>
  <c r="AX178" i="19"/>
  <c r="AZ178" i="19" s="1"/>
  <c r="AX179" i="19"/>
  <c r="AZ179" i="19" s="1"/>
  <c r="AX177" i="19"/>
  <c r="AZ177" i="19" s="1"/>
  <c r="AX176" i="19"/>
  <c r="AZ176" i="19" s="1"/>
  <c r="AX175" i="19"/>
  <c r="AZ175" i="19" s="1"/>
  <c r="AX174" i="19"/>
  <c r="AZ174" i="19" s="1"/>
  <c r="AX173" i="19"/>
  <c r="AZ173" i="19" s="1"/>
  <c r="AX172" i="19"/>
  <c r="AZ172" i="19" s="1"/>
  <c r="AX171" i="19"/>
  <c r="AZ171" i="19" s="1"/>
  <c r="AX169" i="19"/>
  <c r="AZ169" i="19" s="1"/>
  <c r="AX167" i="19"/>
  <c r="AZ167" i="19" s="1"/>
  <c r="AX166" i="19"/>
  <c r="AZ166" i="19" s="1"/>
  <c r="AX165" i="19"/>
  <c r="AZ165" i="19" s="1"/>
  <c r="AX164" i="19"/>
  <c r="AZ164" i="19" s="1"/>
  <c r="AZ163" i="19"/>
  <c r="N132" i="19"/>
  <c r="N131" i="19"/>
  <c r="AX130" i="19"/>
  <c r="AZ130" i="19" s="1"/>
  <c r="N130" i="19"/>
  <c r="AZ129" i="19"/>
  <c r="P129" i="19"/>
  <c r="Q129" i="19" s="1"/>
  <c r="AZ128" i="19"/>
  <c r="AX127" i="19"/>
  <c r="AZ127" i="19" s="1"/>
  <c r="AZ126" i="19"/>
  <c r="AZ125" i="19"/>
  <c r="N125" i="19"/>
  <c r="AX124" i="19"/>
  <c r="AZ124" i="19" s="1"/>
  <c r="N124" i="19"/>
  <c r="AX122" i="19"/>
  <c r="AZ122" i="19" s="1"/>
  <c r="N122" i="19"/>
  <c r="AX123" i="19"/>
  <c r="AZ123" i="19" s="1"/>
  <c r="N123" i="19"/>
  <c r="AX121" i="19"/>
  <c r="AZ121" i="19" s="1"/>
  <c r="N121" i="19"/>
  <c r="AX110" i="19"/>
  <c r="AZ110" i="19" s="1"/>
  <c r="N110" i="19"/>
  <c r="AX109" i="19"/>
  <c r="AZ109" i="19" s="1"/>
  <c r="N109" i="19"/>
  <c r="AX108" i="19"/>
  <c r="AZ108" i="19" s="1"/>
  <c r="N108" i="19"/>
  <c r="AX186" i="19"/>
  <c r="AZ186" i="19" s="1"/>
  <c r="AX107" i="19"/>
  <c r="AZ107" i="19" s="1"/>
  <c r="N107" i="19"/>
  <c r="AX106" i="19"/>
  <c r="AZ106" i="19" s="1"/>
  <c r="N106" i="19"/>
  <c r="AX105" i="19"/>
  <c r="AZ105" i="19" s="1"/>
  <c r="N105" i="19"/>
  <c r="AX104" i="19"/>
  <c r="AZ104" i="19" s="1"/>
  <c r="N104" i="19"/>
  <c r="AX185" i="19"/>
  <c r="AZ185" i="19" s="1"/>
  <c r="N103" i="19"/>
  <c r="AX102" i="19"/>
  <c r="V102" i="19"/>
  <c r="S102" i="19"/>
  <c r="N102" i="19"/>
  <c r="AX101" i="19"/>
  <c r="AZ101" i="19" s="1"/>
  <c r="S101" i="19"/>
  <c r="N101" i="19"/>
  <c r="AX100" i="19"/>
  <c r="AZ100" i="19" s="1"/>
  <c r="S100" i="19"/>
  <c r="N100" i="19"/>
  <c r="AX168" i="19"/>
  <c r="AZ168" i="19" s="1"/>
  <c r="AX182" i="19"/>
  <c r="AZ182" i="19" s="1"/>
  <c r="AX181" i="19"/>
  <c r="AZ181" i="19" s="1"/>
  <c r="AX184" i="19"/>
  <c r="AZ184" i="19" s="1"/>
  <c r="AX180" i="19"/>
  <c r="V190" i="19"/>
  <c r="AX99" i="19"/>
  <c r="AZ99" i="19" s="1"/>
  <c r="S99" i="19"/>
  <c r="N99" i="19"/>
  <c r="AX59" i="19"/>
  <c r="AZ59" i="19" s="1"/>
  <c r="S59" i="19"/>
  <c r="N59" i="19"/>
  <c r="AX98" i="19"/>
  <c r="AZ98" i="19" s="1"/>
  <c r="S98" i="19"/>
  <c r="N98" i="19"/>
  <c r="AX97" i="19"/>
  <c r="AZ97" i="19" s="1"/>
  <c r="S97" i="19"/>
  <c r="N97" i="19"/>
  <c r="AX96" i="19"/>
  <c r="AZ96" i="19" s="1"/>
  <c r="S96" i="19"/>
  <c r="N96" i="19"/>
  <c r="AX95" i="19"/>
  <c r="AZ95" i="19" s="1"/>
  <c r="S95" i="19"/>
  <c r="N95" i="19"/>
  <c r="AX94" i="19"/>
  <c r="AZ94" i="19" s="1"/>
  <c r="S94" i="19"/>
  <c r="N94" i="19"/>
  <c r="AX93" i="19"/>
  <c r="AZ93" i="19" s="1"/>
  <c r="S93" i="19"/>
  <c r="N93" i="19"/>
  <c r="AX92" i="19"/>
  <c r="AZ92" i="19" s="1"/>
  <c r="S92" i="19"/>
  <c r="N92" i="19"/>
  <c r="AX91" i="19"/>
  <c r="AZ91" i="19" s="1"/>
  <c r="S91" i="19"/>
  <c r="N91" i="19"/>
  <c r="AX90" i="19"/>
  <c r="AZ90" i="19" s="1"/>
  <c r="S90" i="19"/>
  <c r="N90" i="19"/>
  <c r="AX89" i="19"/>
  <c r="AZ89" i="19" s="1"/>
  <c r="S89" i="19"/>
  <c r="N89" i="19"/>
  <c r="AX86" i="19"/>
  <c r="AZ86" i="19" s="1"/>
  <c r="P86" i="19"/>
  <c r="S86" i="19" s="1"/>
  <c r="N86" i="19"/>
  <c r="AX80" i="19"/>
  <c r="AZ80" i="19" s="1"/>
  <c r="S80" i="19"/>
  <c r="N80" i="19"/>
  <c r="AX79" i="19"/>
  <c r="AZ79" i="19" s="1"/>
  <c r="S79" i="19"/>
  <c r="N79" i="19"/>
  <c r="AX78" i="19"/>
  <c r="AZ78" i="19" s="1"/>
  <c r="S78" i="19"/>
  <c r="N78" i="19"/>
  <c r="AX77" i="19"/>
  <c r="AZ77" i="19" s="1"/>
  <c r="S77" i="19"/>
  <c r="N77" i="19"/>
  <c r="AX76" i="19"/>
  <c r="AZ76" i="19" s="1"/>
  <c r="S76" i="19"/>
  <c r="N76" i="19"/>
  <c r="AX75" i="19"/>
  <c r="AZ75" i="19" s="1"/>
  <c r="S75" i="19"/>
  <c r="N75" i="19"/>
  <c r="AX74" i="19"/>
  <c r="AZ74" i="19" s="1"/>
  <c r="S74" i="19"/>
  <c r="AC83" i="19"/>
  <c r="S83" i="19"/>
  <c r="AC82" i="19"/>
  <c r="S82" i="19"/>
  <c r="AC81" i="19"/>
  <c r="S81" i="19"/>
  <c r="N81" i="19"/>
  <c r="AX73" i="19"/>
  <c r="AZ73" i="19" s="1"/>
  <c r="S73" i="19"/>
  <c r="AX72" i="19"/>
  <c r="AZ72" i="19" s="1"/>
  <c r="S72" i="19"/>
  <c r="N72" i="19"/>
  <c r="AX71" i="19"/>
  <c r="AZ71" i="19" s="1"/>
  <c r="S71" i="19"/>
  <c r="N71" i="19"/>
  <c r="AX70" i="19"/>
  <c r="AZ70" i="19" s="1"/>
  <c r="S70" i="19"/>
  <c r="N70" i="19"/>
  <c r="AX69" i="19"/>
  <c r="AZ69" i="19" s="1"/>
  <c r="S69" i="19"/>
  <c r="AX68" i="19"/>
  <c r="AZ68" i="19" s="1"/>
  <c r="S68" i="19"/>
  <c r="AD66" i="19"/>
  <c r="AC66" i="19"/>
  <c r="AB66" i="19"/>
  <c r="AB84" i="19" s="1"/>
  <c r="AB135" i="19" s="1"/>
  <c r="AA66" i="19"/>
  <c r="AA84" i="19" s="1"/>
  <c r="AA135" i="19" s="1"/>
  <c r="Z66" i="19"/>
  <c r="Z84" i="19" s="1"/>
  <c r="Z135" i="19" s="1"/>
  <c r="Y66" i="19"/>
  <c r="Y84" i="19" s="1"/>
  <c r="Y135" i="19" s="1"/>
  <c r="X66" i="19"/>
  <c r="X84" i="19" s="1"/>
  <c r="X135" i="19" s="1"/>
  <c r="W66" i="19"/>
  <c r="W84" i="19" s="1"/>
  <c r="W135" i="19" s="1"/>
  <c r="V66" i="19"/>
  <c r="V84" i="19" s="1"/>
  <c r="AX65" i="19"/>
  <c r="AZ65" i="19" s="1"/>
  <c r="S65" i="19"/>
  <c r="N65" i="19"/>
  <c r="AB62" i="19"/>
  <c r="S62" i="19"/>
  <c r="N62" i="19"/>
  <c r="AZ61" i="19"/>
  <c r="S61" i="19"/>
  <c r="N61" i="19"/>
  <c r="AZ60" i="19"/>
  <c r="S60" i="19"/>
  <c r="AZ57" i="19"/>
  <c r="S57" i="19"/>
  <c r="N57" i="19"/>
  <c r="AX56" i="19"/>
  <c r="AZ56" i="19" s="1"/>
  <c r="S56" i="19"/>
  <c r="N56" i="19"/>
  <c r="AB54" i="19"/>
  <c r="AA54" i="19"/>
  <c r="Z54" i="19"/>
  <c r="Y54" i="19"/>
  <c r="X54" i="19"/>
  <c r="W54" i="19"/>
  <c r="AX53" i="19"/>
  <c r="V53" i="19"/>
  <c r="S53" i="19"/>
  <c r="N53" i="19"/>
  <c r="AX52" i="19"/>
  <c r="V52" i="19"/>
  <c r="S52" i="19"/>
  <c r="N52" i="19"/>
  <c r="Z50" i="19"/>
  <c r="Y50" i="19"/>
  <c r="X50" i="19"/>
  <c r="W50" i="19"/>
  <c r="V50" i="19"/>
  <c r="AX49" i="19"/>
  <c r="AZ49" i="19" s="1"/>
  <c r="S49" i="19"/>
  <c r="N49" i="19"/>
  <c r="AA58" i="19"/>
  <c r="S58" i="19"/>
  <c r="N58" i="19"/>
  <c r="AX170" i="19"/>
  <c r="AZ170" i="19" s="1"/>
  <c r="Z47" i="19"/>
  <c r="Y47" i="19"/>
  <c r="X47" i="19"/>
  <c r="W47" i="19"/>
  <c r="V47" i="19"/>
  <c r="AZ46" i="19"/>
  <c r="S46" i="19"/>
  <c r="N46" i="19"/>
  <c r="AB45" i="19"/>
  <c r="AX45" i="19" s="1"/>
  <c r="AZ45" i="19" s="1"/>
  <c r="S45" i="19"/>
  <c r="N45" i="19"/>
  <c r="AB44" i="19"/>
  <c r="AA44" i="19"/>
  <c r="S44" i="19"/>
  <c r="N44" i="19"/>
  <c r="Y42" i="19"/>
  <c r="X42" i="19"/>
  <c r="W42" i="19"/>
  <c r="AX41" i="19"/>
  <c r="AZ41" i="19" s="1"/>
  <c r="S41" i="19"/>
  <c r="AX40" i="19"/>
  <c r="V40" i="19"/>
  <c r="V42" i="19" s="1"/>
  <c r="AX37" i="19"/>
  <c r="AZ37" i="19" s="1"/>
  <c r="S37" i="19"/>
  <c r="N37" i="19"/>
  <c r="AX36" i="19"/>
  <c r="AZ36" i="19" s="1"/>
  <c r="AX35" i="19"/>
  <c r="AZ35" i="19" s="1"/>
  <c r="S35" i="19"/>
  <c r="N35" i="19"/>
  <c r="AZ34" i="19"/>
  <c r="S34" i="19"/>
  <c r="N34" i="19"/>
  <c r="AB33" i="19"/>
  <c r="S33" i="19"/>
  <c r="N33" i="19"/>
  <c r="AD32" i="19"/>
  <c r="S32" i="19"/>
  <c r="N32" i="19"/>
  <c r="AD31" i="19"/>
  <c r="AA31" i="19"/>
  <c r="V31" i="19"/>
  <c r="V38" i="19" s="1"/>
  <c r="S31" i="19"/>
  <c r="N31" i="19"/>
  <c r="AZ30" i="19"/>
  <c r="S30" i="19"/>
  <c r="N30" i="19"/>
  <c r="AX29" i="19"/>
  <c r="AZ29" i="19" s="1"/>
  <c r="S29" i="19"/>
  <c r="N29" i="19"/>
  <c r="AX28" i="19"/>
  <c r="AZ28" i="19" s="1"/>
  <c r="S28" i="19"/>
  <c r="W26" i="19"/>
  <c r="V26" i="19"/>
  <c r="AX25" i="19"/>
  <c r="AZ25" i="19" s="1"/>
  <c r="S25" i="19"/>
  <c r="N25" i="19"/>
  <c r="AX24" i="19"/>
  <c r="AZ24" i="19" s="1"/>
  <c r="S24" i="19"/>
  <c r="N24" i="19"/>
  <c r="AX23" i="19"/>
  <c r="AZ23" i="19" s="1"/>
  <c r="S23" i="19"/>
  <c r="N23" i="19"/>
  <c r="AX20" i="19"/>
  <c r="AZ20" i="19" s="1"/>
  <c r="N20" i="19"/>
  <c r="AX19" i="19"/>
  <c r="AZ19" i="19" s="1"/>
  <c r="Q19" i="19"/>
  <c r="S19" i="19" s="1"/>
  <c r="AX18" i="19"/>
  <c r="AZ18" i="19" s="1"/>
  <c r="Q18" i="19"/>
  <c r="S18" i="19" s="1"/>
  <c r="N18" i="19"/>
  <c r="AZ17" i="19"/>
  <c r="S17" i="19"/>
  <c r="N17" i="19"/>
  <c r="AZ16" i="19"/>
  <c r="S16" i="19"/>
  <c r="N16" i="19"/>
  <c r="AZ15" i="19"/>
  <c r="S15" i="19"/>
  <c r="N15" i="19"/>
  <c r="AB14" i="19"/>
  <c r="AX14" i="19" s="1"/>
  <c r="V14" i="19"/>
  <c r="S14" i="19"/>
  <c r="L14" i="19"/>
  <c r="N14" i="19" s="1"/>
  <c r="AC13" i="19"/>
  <c r="S13" i="19"/>
  <c r="N13" i="19"/>
  <c r="AB12" i="19"/>
  <c r="S12" i="19"/>
  <c r="N12" i="19"/>
  <c r="AD11" i="19"/>
  <c r="AB11" i="19"/>
  <c r="S11" i="19"/>
  <c r="N11" i="19"/>
  <c r="AB10" i="19"/>
  <c r="AX10" i="19" s="1"/>
  <c r="S10" i="19"/>
  <c r="N10" i="19"/>
  <c r="AZ9" i="19"/>
  <c r="S9" i="19"/>
  <c r="N9" i="19"/>
  <c r="AZ8" i="19"/>
  <c r="S8" i="19"/>
  <c r="N8" i="19"/>
  <c r="AZ7" i="19"/>
  <c r="S7" i="19"/>
  <c r="N7" i="19"/>
  <c r="AX6" i="19"/>
  <c r="AZ6" i="19" s="1"/>
  <c r="S6" i="19"/>
  <c r="N6" i="19"/>
  <c r="AX5" i="19"/>
  <c r="AZ5" i="19" s="1"/>
  <c r="S5" i="19"/>
  <c r="N5" i="19"/>
  <c r="AX4" i="19"/>
  <c r="V4" i="19"/>
  <c r="V21" i="19" s="1"/>
  <c r="S4" i="19"/>
  <c r="N4" i="19"/>
  <c r="AI149" i="18"/>
  <c r="AK149" i="18" s="1"/>
  <c r="AI146" i="18"/>
  <c r="AK146" i="18" s="1"/>
  <c r="AI144" i="18"/>
  <c r="AK144" i="18" s="1"/>
  <c r="AI141" i="18"/>
  <c r="AK141" i="18" s="1"/>
  <c r="AI138" i="18"/>
  <c r="AK138" i="18" s="1"/>
  <c r="AI136" i="18"/>
  <c r="AK136" i="18" s="1"/>
  <c r="AI126" i="18"/>
  <c r="AK126" i="18" s="1"/>
  <c r="AI124" i="18"/>
  <c r="AK124" i="18" s="1"/>
  <c r="AI118" i="18"/>
  <c r="AK118" i="18" s="1"/>
  <c r="AI116" i="18"/>
  <c r="AK116" i="18" s="1"/>
  <c r="AI108" i="18"/>
  <c r="AK108" i="18" s="1"/>
  <c r="AI102" i="18"/>
  <c r="AK102" i="18" s="1"/>
  <c r="AI100" i="18"/>
  <c r="AK100" i="18" s="1"/>
  <c r="AI94" i="18"/>
  <c r="AK94" i="18" s="1"/>
  <c r="AC132" i="18"/>
  <c r="AI90" i="18"/>
  <c r="AK90" i="18" s="1"/>
  <c r="AI89" i="18"/>
  <c r="AK89" i="18" s="1"/>
  <c r="AC87" i="18"/>
  <c r="AI76" i="18"/>
  <c r="AK76" i="18" s="1"/>
  <c r="AI71" i="18"/>
  <c r="AK71" i="18" s="1"/>
  <c r="AC84" i="18"/>
  <c r="AI65" i="18"/>
  <c r="AK65" i="18" s="1"/>
  <c r="AI60" i="18"/>
  <c r="AK60" i="18" s="1"/>
  <c r="AC63" i="18"/>
  <c r="AI63" i="18" s="1"/>
  <c r="AK63" i="18" s="1"/>
  <c r="AI55" i="18"/>
  <c r="AK55" i="18" s="1"/>
  <c r="AC56" i="18"/>
  <c r="AI56" i="18" s="1"/>
  <c r="AK56" i="18" s="1"/>
  <c r="AI49" i="18"/>
  <c r="AK49" i="18" s="1"/>
  <c r="AI46" i="18"/>
  <c r="AK46" i="18" s="1"/>
  <c r="AC47" i="18"/>
  <c r="AI40" i="18"/>
  <c r="AK40" i="18" s="1"/>
  <c r="AI37" i="18"/>
  <c r="AK37" i="18" s="1"/>
  <c r="AI36" i="18"/>
  <c r="AK36" i="18" s="1"/>
  <c r="AI31" i="18"/>
  <c r="AK31" i="18" s="1"/>
  <c r="AI30" i="18"/>
  <c r="AK30" i="18" s="1"/>
  <c r="AC38" i="18"/>
  <c r="AI25" i="18"/>
  <c r="AK25" i="18" s="1"/>
  <c r="AI24" i="18"/>
  <c r="AK24" i="18" s="1"/>
  <c r="AI23" i="18"/>
  <c r="AK23" i="18" s="1"/>
  <c r="AI16" i="18"/>
  <c r="AK16" i="18" s="1"/>
  <c r="AI8" i="18"/>
  <c r="AK8" i="18" s="1"/>
  <c r="AI7" i="18"/>
  <c r="AK7" i="18" s="1"/>
  <c r="AI4" i="18"/>
  <c r="AK4" i="18" s="1"/>
  <c r="AK22" i="18"/>
  <c r="AK27" i="18"/>
  <c r="AK39" i="18"/>
  <c r="AK43" i="18"/>
  <c r="AK48" i="18"/>
  <c r="AK53" i="18"/>
  <c r="AK57" i="18"/>
  <c r="AK64" i="18"/>
  <c r="AK67" i="18"/>
  <c r="AK85" i="18"/>
  <c r="AK88" i="18"/>
  <c r="AK105" i="18"/>
  <c r="AK110" i="18"/>
  <c r="AK130" i="18"/>
  <c r="AK131" i="18"/>
  <c r="AK133" i="18"/>
  <c r="AK153" i="18"/>
  <c r="AI129" i="18"/>
  <c r="AK129" i="18" s="1"/>
  <c r="AI117" i="18"/>
  <c r="AK117" i="18" s="1"/>
  <c r="AF63" i="18"/>
  <c r="AF38" i="18"/>
  <c r="AE8" i="18"/>
  <c r="V177" i="18"/>
  <c r="T177" i="18"/>
  <c r="AE176" i="18"/>
  <c r="AD176" i="18"/>
  <c r="AC176" i="18"/>
  <c r="AB176" i="18"/>
  <c r="AA176" i="18"/>
  <c r="Z176" i="18"/>
  <c r="Y176" i="18"/>
  <c r="X176" i="18"/>
  <c r="W176" i="18"/>
  <c r="V176" i="18"/>
  <c r="U176" i="18"/>
  <c r="U177" i="18" s="1"/>
  <c r="T176" i="18"/>
  <c r="V172" i="18"/>
  <c r="U172" i="18"/>
  <c r="T172" i="18"/>
  <c r="V168" i="18"/>
  <c r="U168" i="18"/>
  <c r="T168" i="18"/>
  <c r="V164" i="18"/>
  <c r="U164" i="18"/>
  <c r="T164" i="18"/>
  <c r="AF163" i="18"/>
  <c r="AE163" i="18"/>
  <c r="AD163" i="18"/>
  <c r="AC163" i="18"/>
  <c r="AB163" i="18"/>
  <c r="AA163" i="18"/>
  <c r="Z163" i="18"/>
  <c r="Y163" i="18"/>
  <c r="X163" i="18"/>
  <c r="W163" i="18"/>
  <c r="V163" i="18"/>
  <c r="U163" i="18"/>
  <c r="T163" i="18"/>
  <c r="V160" i="18"/>
  <c r="U160" i="18"/>
  <c r="T160" i="18"/>
  <c r="AF159" i="18"/>
  <c r="AE159" i="18"/>
  <c r="AD159" i="18"/>
  <c r="AC159" i="18"/>
  <c r="AB159" i="18"/>
  <c r="AA159" i="18"/>
  <c r="Z159" i="18"/>
  <c r="Y159" i="18"/>
  <c r="X159" i="18"/>
  <c r="W159" i="18"/>
  <c r="V159" i="18"/>
  <c r="U159" i="18"/>
  <c r="T159" i="18"/>
  <c r="AD156" i="18"/>
  <c r="AA156" i="18"/>
  <c r="V156" i="18"/>
  <c r="S156" i="18"/>
  <c r="AG154" i="18"/>
  <c r="AD154" i="18"/>
  <c r="AB154" i="18"/>
  <c r="AB156" i="18" s="1"/>
  <c r="AA154" i="18"/>
  <c r="Y154" i="18"/>
  <c r="Y156" i="18" s="1"/>
  <c r="W154" i="18"/>
  <c r="W156" i="18" s="1"/>
  <c r="V154" i="18"/>
  <c r="U154" i="18"/>
  <c r="U156" i="18" s="1"/>
  <c r="T154" i="18"/>
  <c r="T156" i="18" s="1"/>
  <c r="S154" i="18"/>
  <c r="AG152" i="18"/>
  <c r="AF152" i="18"/>
  <c r="AE152" i="18"/>
  <c r="AD152" i="18"/>
  <c r="AB152" i="18"/>
  <c r="AA152" i="18"/>
  <c r="Z152" i="18"/>
  <c r="Y152" i="18"/>
  <c r="X152" i="18"/>
  <c r="W152" i="18"/>
  <c r="V152" i="18"/>
  <c r="U152" i="18"/>
  <c r="T152" i="18"/>
  <c r="S152" i="18"/>
  <c r="R152" i="18"/>
  <c r="AI151" i="18"/>
  <c r="AK151" i="18" s="1"/>
  <c r="AI150" i="18"/>
  <c r="AK150" i="18" s="1"/>
  <c r="AI148" i="18"/>
  <c r="AK148" i="18" s="1"/>
  <c r="AI147" i="18"/>
  <c r="AK147" i="18" s="1"/>
  <c r="AI145" i="18"/>
  <c r="AK145" i="18" s="1"/>
  <c r="AI143" i="18"/>
  <c r="AK143" i="18" s="1"/>
  <c r="AI142" i="18"/>
  <c r="AK142" i="18" s="1"/>
  <c r="AI140" i="18"/>
  <c r="AK140" i="18" s="1"/>
  <c r="AI139" i="18"/>
  <c r="AK139" i="18" s="1"/>
  <c r="J138" i="18"/>
  <c r="AI137" i="18"/>
  <c r="AK137" i="18" s="1"/>
  <c r="AI135" i="18"/>
  <c r="AK135" i="18" s="1"/>
  <c r="AI134" i="18"/>
  <c r="AK134" i="18" s="1"/>
  <c r="AG132" i="18"/>
  <c r="AF132" i="18"/>
  <c r="AE132" i="18"/>
  <c r="AD132" i="18"/>
  <c r="AB132" i="18"/>
  <c r="AA132" i="18"/>
  <c r="Z132" i="18"/>
  <c r="Y132" i="18"/>
  <c r="X132" i="18"/>
  <c r="W132" i="18"/>
  <c r="V132" i="18"/>
  <c r="U132" i="18"/>
  <c r="T132" i="18"/>
  <c r="S132" i="18"/>
  <c r="R132" i="18"/>
  <c r="J131" i="18"/>
  <c r="J130" i="18"/>
  <c r="J129" i="18"/>
  <c r="AI128" i="18"/>
  <c r="AK128" i="18" s="1"/>
  <c r="O128" i="18"/>
  <c r="L128" i="18"/>
  <c r="J128" i="18"/>
  <c r="I128" i="18"/>
  <c r="AI127" i="18"/>
  <c r="AK127" i="18" s="1"/>
  <c r="O127" i="18"/>
  <c r="L127" i="18"/>
  <c r="J127" i="18"/>
  <c r="I127" i="18"/>
  <c r="O126" i="18"/>
  <c r="J126" i="18"/>
  <c r="I126" i="18"/>
  <c r="AI125" i="18"/>
  <c r="AK125" i="18" s="1"/>
  <c r="O125" i="18"/>
  <c r="L125" i="18"/>
  <c r="J125" i="18"/>
  <c r="I125" i="18"/>
  <c r="O124" i="18"/>
  <c r="L124" i="18"/>
  <c r="J124" i="18"/>
  <c r="AI123" i="18"/>
  <c r="AK123" i="18" s="1"/>
  <c r="O123" i="18"/>
  <c r="J123" i="18"/>
  <c r="AI122" i="18"/>
  <c r="AK122" i="18" s="1"/>
  <c r="O122" i="18"/>
  <c r="J122" i="18"/>
  <c r="AI121" i="18"/>
  <c r="AK121" i="18" s="1"/>
  <c r="O121" i="18"/>
  <c r="J121" i="18"/>
  <c r="AI120" i="18"/>
  <c r="AK120" i="18" s="1"/>
  <c r="AF120" i="18"/>
  <c r="O120" i="18"/>
  <c r="L120" i="18"/>
  <c r="J120" i="18"/>
  <c r="AI119" i="18"/>
  <c r="AK119" i="18" s="1"/>
  <c r="O119" i="18"/>
  <c r="L119" i="18"/>
  <c r="J119" i="18"/>
  <c r="O118" i="18"/>
  <c r="J118" i="18"/>
  <c r="J117" i="18"/>
  <c r="L116" i="18"/>
  <c r="J116" i="18"/>
  <c r="AI115" i="18"/>
  <c r="AK115" i="18" s="1"/>
  <c r="O115" i="18"/>
  <c r="J115" i="18"/>
  <c r="AI114" i="18"/>
  <c r="AK114" i="18" s="1"/>
  <c r="O114" i="18"/>
  <c r="J114" i="18"/>
  <c r="AI113" i="18"/>
  <c r="AK113" i="18" s="1"/>
  <c r="O113" i="18"/>
  <c r="J113" i="18"/>
  <c r="AI112" i="18"/>
  <c r="AK112" i="18" s="1"/>
  <c r="O112" i="18"/>
  <c r="J112" i="18"/>
  <c r="AI111" i="18"/>
  <c r="AK111" i="18" s="1"/>
  <c r="O111" i="18"/>
  <c r="J111" i="18"/>
  <c r="L110" i="18"/>
  <c r="J110" i="18"/>
  <c r="AI109" i="18"/>
  <c r="AK109" i="18" s="1"/>
  <c r="R109" i="18"/>
  <c r="O109" i="18"/>
  <c r="J109" i="18"/>
  <c r="O108" i="18"/>
  <c r="J108" i="18"/>
  <c r="AI107" i="18"/>
  <c r="AK107" i="18" s="1"/>
  <c r="O107" i="18"/>
  <c r="L107" i="18"/>
  <c r="J107" i="18"/>
  <c r="AI106" i="18"/>
  <c r="AK106" i="18" s="1"/>
  <c r="O106" i="18"/>
  <c r="L106" i="18"/>
  <c r="J106" i="18"/>
  <c r="L105" i="18"/>
  <c r="J105" i="18"/>
  <c r="AI104" i="18"/>
  <c r="AK104" i="18" s="1"/>
  <c r="O104" i="18"/>
  <c r="L104" i="18"/>
  <c r="J104" i="18"/>
  <c r="AI103" i="18"/>
  <c r="AK103" i="18" s="1"/>
  <c r="O103" i="18"/>
  <c r="L103" i="18"/>
  <c r="J103" i="18"/>
  <c r="O102" i="18"/>
  <c r="L102" i="18"/>
  <c r="J102" i="18"/>
  <c r="AI101" i="18"/>
  <c r="AK101" i="18" s="1"/>
  <c r="R101" i="18"/>
  <c r="O101" i="18"/>
  <c r="L101" i="18"/>
  <c r="J101" i="18"/>
  <c r="O100" i="18"/>
  <c r="L100" i="18"/>
  <c r="J100" i="18"/>
  <c r="AI99" i="18"/>
  <c r="AK99" i="18" s="1"/>
  <c r="O99" i="18"/>
  <c r="J99" i="18"/>
  <c r="AI98" i="18"/>
  <c r="AK98" i="18" s="1"/>
  <c r="O98" i="18"/>
  <c r="J98" i="18"/>
  <c r="I98" i="18"/>
  <c r="AI97" i="18"/>
  <c r="AK97" i="18" s="1"/>
  <c r="O97" i="18"/>
  <c r="L97" i="18"/>
  <c r="J97" i="18"/>
  <c r="AI96" i="18"/>
  <c r="AK96" i="18" s="1"/>
  <c r="O96" i="18"/>
  <c r="L96" i="18"/>
  <c r="J96" i="18"/>
  <c r="AI95" i="18"/>
  <c r="AK95" i="18" s="1"/>
  <c r="O95" i="18"/>
  <c r="L95" i="18"/>
  <c r="J95" i="18"/>
  <c r="O94" i="18"/>
  <c r="L94" i="18"/>
  <c r="J94" i="18"/>
  <c r="AI93" i="18"/>
  <c r="AK93" i="18" s="1"/>
  <c r="O93" i="18"/>
  <c r="L93" i="18"/>
  <c r="J93" i="18"/>
  <c r="O92" i="18"/>
  <c r="L92" i="18"/>
  <c r="J92" i="18"/>
  <c r="AI91" i="18"/>
  <c r="AK91" i="18" s="1"/>
  <c r="O91" i="18"/>
  <c r="J91" i="18"/>
  <c r="O90" i="18"/>
  <c r="J90" i="18"/>
  <c r="O89" i="18"/>
  <c r="L89" i="18"/>
  <c r="J89" i="18"/>
  <c r="AG87" i="18"/>
  <c r="AF87" i="18"/>
  <c r="AE87" i="18"/>
  <c r="AD87" i="18"/>
  <c r="AB87" i="18"/>
  <c r="AA87" i="18"/>
  <c r="Z87" i="18"/>
  <c r="Y87" i="18"/>
  <c r="X87" i="18"/>
  <c r="W87" i="18"/>
  <c r="V87" i="18"/>
  <c r="U87" i="18"/>
  <c r="T87" i="18"/>
  <c r="S87" i="18"/>
  <c r="R87" i="18"/>
  <c r="O86" i="18"/>
  <c r="L86" i="18"/>
  <c r="J86" i="18"/>
  <c r="AG84" i="18"/>
  <c r="AF84" i="18"/>
  <c r="AE84" i="18"/>
  <c r="AD84" i="18"/>
  <c r="AB84" i="18"/>
  <c r="AA84" i="18"/>
  <c r="Z84" i="18"/>
  <c r="Y84" i="18"/>
  <c r="X84" i="18"/>
  <c r="W84" i="18"/>
  <c r="V84" i="18"/>
  <c r="U84" i="18"/>
  <c r="T84" i="18"/>
  <c r="S84" i="18"/>
  <c r="R84" i="18"/>
  <c r="AI83" i="18"/>
  <c r="AK83" i="18" s="1"/>
  <c r="O83" i="18"/>
  <c r="J83" i="18"/>
  <c r="AI82" i="18"/>
  <c r="AK82" i="18" s="1"/>
  <c r="O82" i="18"/>
  <c r="J82" i="18"/>
  <c r="AI81" i="18"/>
  <c r="AK81" i="18" s="1"/>
  <c r="O81" i="18"/>
  <c r="J81" i="18"/>
  <c r="AI80" i="18"/>
  <c r="AK80" i="18" s="1"/>
  <c r="O80" i="18"/>
  <c r="J80" i="18"/>
  <c r="AI79" i="18"/>
  <c r="AK79" i="18" s="1"/>
  <c r="O79" i="18"/>
  <c r="J79" i="18"/>
  <c r="AI78" i="18"/>
  <c r="AK78" i="18" s="1"/>
  <c r="O78" i="18"/>
  <c r="J78" i="18"/>
  <c r="AI77" i="18"/>
  <c r="AK77" i="18" s="1"/>
  <c r="O77" i="18"/>
  <c r="Y76" i="18"/>
  <c r="O76" i="18"/>
  <c r="L76" i="18"/>
  <c r="J76" i="18"/>
  <c r="I76" i="18"/>
  <c r="AI75" i="18"/>
  <c r="AK75" i="18" s="1"/>
  <c r="Y75" i="18"/>
  <c r="O75" i="18"/>
  <c r="L75" i="18"/>
  <c r="J75" i="18"/>
  <c r="I75" i="18"/>
  <c r="AI74" i="18"/>
  <c r="AK74" i="18" s="1"/>
  <c r="Y74" i="18"/>
  <c r="O74" i="18"/>
  <c r="L74" i="18"/>
  <c r="J74" i="18"/>
  <c r="AI73" i="18"/>
  <c r="AK73" i="18" s="1"/>
  <c r="O73" i="18"/>
  <c r="AI72" i="18"/>
  <c r="AK72" i="18" s="1"/>
  <c r="O72" i="18"/>
  <c r="J72" i="18"/>
  <c r="O71" i="18"/>
  <c r="J71" i="18"/>
  <c r="AI70" i="18"/>
  <c r="AK70" i="18" s="1"/>
  <c r="O70" i="18"/>
  <c r="J70" i="18"/>
  <c r="AI69" i="18"/>
  <c r="AK69" i="18" s="1"/>
  <c r="O69" i="18"/>
  <c r="AI68" i="18"/>
  <c r="AK68" i="18" s="1"/>
  <c r="O68" i="18"/>
  <c r="AG66" i="18"/>
  <c r="AF66" i="18"/>
  <c r="AE66" i="18"/>
  <c r="AD66" i="18"/>
  <c r="AC66" i="18"/>
  <c r="AI66" i="18" s="1"/>
  <c r="AK66" i="18" s="1"/>
  <c r="AB66" i="18"/>
  <c r="AA66" i="18"/>
  <c r="Z66" i="18"/>
  <c r="Y66" i="18"/>
  <c r="X66" i="18"/>
  <c r="W66" i="18"/>
  <c r="V66" i="18"/>
  <c r="U66" i="18"/>
  <c r="T66" i="18"/>
  <c r="S66" i="18"/>
  <c r="R66" i="18"/>
  <c r="O65" i="18"/>
  <c r="J65" i="18"/>
  <c r="AG63" i="18"/>
  <c r="AE63" i="18"/>
  <c r="AD63" i="18"/>
  <c r="AB63" i="18"/>
  <c r="AA63" i="18"/>
  <c r="Z63" i="18"/>
  <c r="Y63" i="18"/>
  <c r="X63" i="18"/>
  <c r="W63" i="18"/>
  <c r="V63" i="18"/>
  <c r="U63" i="18"/>
  <c r="T63" i="18"/>
  <c r="S63" i="18"/>
  <c r="R63" i="18"/>
  <c r="AI62" i="18"/>
  <c r="AK62" i="18" s="1"/>
  <c r="X62" i="18"/>
  <c r="O62" i="18"/>
  <c r="J62" i="18"/>
  <c r="AI61" i="18"/>
  <c r="AK61" i="18" s="1"/>
  <c r="O61" i="18"/>
  <c r="J61" i="18"/>
  <c r="O60" i="18"/>
  <c r="AI59" i="18"/>
  <c r="AK59" i="18" s="1"/>
  <c r="O59" i="18"/>
  <c r="J59" i="18"/>
  <c r="AI58" i="18"/>
  <c r="AK58" i="18" s="1"/>
  <c r="O58" i="18"/>
  <c r="J58" i="18"/>
  <c r="AG56" i="18"/>
  <c r="AF56" i="18"/>
  <c r="AE56" i="18"/>
  <c r="AD56" i="18"/>
  <c r="AB56" i="18"/>
  <c r="AA56" i="18"/>
  <c r="Z56" i="18"/>
  <c r="Y56" i="18"/>
  <c r="X56" i="18"/>
  <c r="W56" i="18"/>
  <c r="V56" i="18"/>
  <c r="U56" i="18"/>
  <c r="T56" i="18"/>
  <c r="S56" i="18"/>
  <c r="R56" i="18"/>
  <c r="R55" i="18"/>
  <c r="O55" i="18"/>
  <c r="J55" i="18"/>
  <c r="R54" i="18"/>
  <c r="O54" i="18"/>
  <c r="J54" i="18"/>
  <c r="AG52" i="18"/>
  <c r="AF52" i="18"/>
  <c r="AE52" i="18"/>
  <c r="AD52" i="18"/>
  <c r="AB52" i="18"/>
  <c r="AA52" i="18"/>
  <c r="Z52" i="18"/>
  <c r="Y52" i="18"/>
  <c r="X52" i="18"/>
  <c r="W52" i="18"/>
  <c r="V52" i="18"/>
  <c r="U52" i="18"/>
  <c r="T52" i="18"/>
  <c r="S52" i="18"/>
  <c r="R52" i="18"/>
  <c r="AI51" i="18"/>
  <c r="AK51" i="18" s="1"/>
  <c r="O51" i="18"/>
  <c r="J51" i="18"/>
  <c r="AI50" i="18"/>
  <c r="AK50" i="18" s="1"/>
  <c r="W50" i="18"/>
  <c r="O50" i="18"/>
  <c r="J50" i="18"/>
  <c r="J49" i="18"/>
  <c r="AG47" i="18"/>
  <c r="AF47" i="18"/>
  <c r="AE47" i="18"/>
  <c r="AD47" i="18"/>
  <c r="AB47" i="18"/>
  <c r="AA47" i="18"/>
  <c r="Z47" i="18"/>
  <c r="Y47" i="18"/>
  <c r="X47" i="18"/>
  <c r="W47" i="18"/>
  <c r="V47" i="18"/>
  <c r="U47" i="18"/>
  <c r="T47" i="18"/>
  <c r="S47" i="18"/>
  <c r="R47" i="18"/>
  <c r="O46" i="18"/>
  <c r="J46" i="18"/>
  <c r="AI45" i="18"/>
  <c r="AK45" i="18" s="1"/>
  <c r="X45" i="18"/>
  <c r="O45" i="18"/>
  <c r="J45" i="18"/>
  <c r="X44" i="18"/>
  <c r="W44" i="18"/>
  <c r="O44" i="18"/>
  <c r="J44" i="18"/>
  <c r="AG42" i="18"/>
  <c r="AF42" i="18"/>
  <c r="AE42" i="18"/>
  <c r="AD42" i="18"/>
  <c r="AB42" i="18"/>
  <c r="AA42" i="18"/>
  <c r="Z42" i="18"/>
  <c r="Y42" i="18"/>
  <c r="X42" i="18"/>
  <c r="W42" i="18"/>
  <c r="V42" i="18"/>
  <c r="U42" i="18"/>
  <c r="T42" i="18"/>
  <c r="S42" i="18"/>
  <c r="R42" i="18"/>
  <c r="AI41" i="18"/>
  <c r="AK41" i="18" s="1"/>
  <c r="O41" i="18"/>
  <c r="R40" i="18"/>
  <c r="AG38" i="18"/>
  <c r="AE38" i="18"/>
  <c r="AD38" i="18"/>
  <c r="AB38" i="18"/>
  <c r="AA38" i="18"/>
  <c r="Z38" i="18"/>
  <c r="Z154" i="18" s="1"/>
  <c r="Z156" i="18" s="1"/>
  <c r="Y38" i="18"/>
  <c r="X38" i="18"/>
  <c r="W38" i="18"/>
  <c r="V38" i="18"/>
  <c r="U38" i="18"/>
  <c r="T38" i="18"/>
  <c r="S38" i="18"/>
  <c r="R38" i="18"/>
  <c r="R154" i="18" s="1"/>
  <c r="O37" i="18"/>
  <c r="J37" i="18"/>
  <c r="AI35" i="18"/>
  <c r="AK35" i="18" s="1"/>
  <c r="O35" i="18"/>
  <c r="J35" i="18"/>
  <c r="AI34" i="18"/>
  <c r="AK34" i="18" s="1"/>
  <c r="O34" i="18"/>
  <c r="J34" i="18"/>
  <c r="AI33" i="18"/>
  <c r="AK33" i="18" s="1"/>
  <c r="X33" i="18"/>
  <c r="O33" i="18"/>
  <c r="J33" i="18"/>
  <c r="AI32" i="18"/>
  <c r="AK32" i="18" s="1"/>
  <c r="Z32" i="18"/>
  <c r="O32" i="18"/>
  <c r="J32" i="18"/>
  <c r="Z31" i="18"/>
  <c r="W31" i="18"/>
  <c r="R31" i="18"/>
  <c r="O31" i="18"/>
  <c r="J31" i="18"/>
  <c r="O30" i="18"/>
  <c r="J30" i="18"/>
  <c r="AI29" i="18"/>
  <c r="AK29" i="18" s="1"/>
  <c r="O29" i="18"/>
  <c r="J29" i="18"/>
  <c r="O28" i="18"/>
  <c r="AG26" i="18"/>
  <c r="AF26" i="18"/>
  <c r="AE26" i="18"/>
  <c r="AD26" i="18"/>
  <c r="AB26" i="18"/>
  <c r="AA26" i="18"/>
  <c r="Z26" i="18"/>
  <c r="Y26" i="18"/>
  <c r="X26" i="18"/>
  <c r="W26" i="18"/>
  <c r="V26" i="18"/>
  <c r="U26" i="18"/>
  <c r="T26" i="18"/>
  <c r="S26" i="18"/>
  <c r="R26" i="18"/>
  <c r="O25" i="18"/>
  <c r="J25" i="18"/>
  <c r="O24" i="18"/>
  <c r="J24" i="18"/>
  <c r="O23" i="18"/>
  <c r="J23" i="18"/>
  <c r="AG21" i="18"/>
  <c r="AF21" i="18"/>
  <c r="AE21" i="18"/>
  <c r="AE154" i="18" s="1"/>
  <c r="AE156" i="18" s="1"/>
  <c r="AD21" i="18"/>
  <c r="AB21" i="18"/>
  <c r="AA21" i="18"/>
  <c r="Z21" i="18"/>
  <c r="Y21" i="18"/>
  <c r="X21" i="18"/>
  <c r="X154" i="18" s="1"/>
  <c r="X156" i="18" s="1"/>
  <c r="W21" i="18"/>
  <c r="V21" i="18"/>
  <c r="U21" i="18"/>
  <c r="T21" i="18"/>
  <c r="S21" i="18"/>
  <c r="R21" i="18"/>
  <c r="AI20" i="18"/>
  <c r="AK20" i="18" s="1"/>
  <c r="O20" i="18"/>
  <c r="M20" i="18"/>
  <c r="L20" i="18"/>
  <c r="J20" i="18"/>
  <c r="I20" i="18"/>
  <c r="AI19" i="18"/>
  <c r="AK19" i="18" s="1"/>
  <c r="M19" i="18"/>
  <c r="O19" i="18" s="1"/>
  <c r="L19" i="18"/>
  <c r="J19" i="18"/>
  <c r="I19" i="18"/>
  <c r="AI18" i="18"/>
  <c r="AK18" i="18" s="1"/>
  <c r="O18" i="18"/>
  <c r="M18" i="18"/>
  <c r="L18" i="18"/>
  <c r="J18" i="18"/>
  <c r="AI17" i="18"/>
  <c r="AK17" i="18" s="1"/>
  <c r="O17" i="18"/>
  <c r="J17" i="18"/>
  <c r="O16" i="18"/>
  <c r="J16" i="18"/>
  <c r="AI15" i="18"/>
  <c r="AK15" i="18" s="1"/>
  <c r="O15" i="18"/>
  <c r="J15" i="18"/>
  <c r="AI14" i="18"/>
  <c r="AK14" i="18" s="1"/>
  <c r="X14" i="18"/>
  <c r="R14" i="18"/>
  <c r="O14" i="18"/>
  <c r="J14" i="18"/>
  <c r="I14" i="18"/>
  <c r="AI13" i="18"/>
  <c r="AK13" i="18" s="1"/>
  <c r="Y13" i="18"/>
  <c r="O13" i="18"/>
  <c r="J13" i="18"/>
  <c r="AI12" i="18"/>
  <c r="AK12" i="18" s="1"/>
  <c r="X12" i="18"/>
  <c r="O12" i="18"/>
  <c r="J12" i="18"/>
  <c r="AI11" i="18"/>
  <c r="AK11" i="18" s="1"/>
  <c r="Z11" i="18"/>
  <c r="X11" i="18"/>
  <c r="O11" i="18"/>
  <c r="J11" i="18"/>
  <c r="AI10" i="18"/>
  <c r="AK10" i="18" s="1"/>
  <c r="X10" i="18"/>
  <c r="R10" i="18"/>
  <c r="O10" i="18"/>
  <c r="J10" i="18"/>
  <c r="AI9" i="18"/>
  <c r="AK9" i="18" s="1"/>
  <c r="O9" i="18"/>
  <c r="J9" i="18"/>
  <c r="O8" i="18"/>
  <c r="J8" i="18"/>
  <c r="O7" i="18"/>
  <c r="J7" i="18"/>
  <c r="AI6" i="18"/>
  <c r="AK6" i="18" s="1"/>
  <c r="O6" i="18"/>
  <c r="J6" i="18"/>
  <c r="AI5" i="18"/>
  <c r="AK5" i="18" s="1"/>
  <c r="O5" i="18"/>
  <c r="J5" i="18"/>
  <c r="R4" i="18"/>
  <c r="O4" i="18"/>
  <c r="J4" i="18"/>
  <c r="AI65" i="16"/>
  <c r="AK65" i="16" s="1"/>
  <c r="AI149" i="16"/>
  <c r="AK149" i="16" s="1"/>
  <c r="AI122" i="16"/>
  <c r="AK122" i="16" s="1"/>
  <c r="AC176" i="16"/>
  <c r="AA176" i="16"/>
  <c r="Z176" i="16"/>
  <c r="U176" i="16"/>
  <c r="U177" i="16" s="1"/>
  <c r="V172" i="16"/>
  <c r="U172" i="16"/>
  <c r="T172" i="16"/>
  <c r="V168" i="16"/>
  <c r="U168" i="16"/>
  <c r="T168" i="16"/>
  <c r="V164" i="16"/>
  <c r="T164" i="16"/>
  <c r="AF163" i="16"/>
  <c r="AE163" i="16"/>
  <c r="AE176" i="16" s="1"/>
  <c r="AD163" i="16"/>
  <c r="AD176" i="16" s="1"/>
  <c r="AC163" i="16"/>
  <c r="AB163" i="16"/>
  <c r="AB176" i="16" s="1"/>
  <c r="AA163" i="16"/>
  <c r="Z163" i="16"/>
  <c r="Y163" i="16"/>
  <c r="Y176" i="16" s="1"/>
  <c r="X163" i="16"/>
  <c r="X176" i="16" s="1"/>
  <c r="W163" i="16"/>
  <c r="W176" i="16" s="1"/>
  <c r="V163" i="16"/>
  <c r="V176" i="16" s="1"/>
  <c r="V177" i="16" s="1"/>
  <c r="U163" i="16"/>
  <c r="U164" i="16" s="1"/>
  <c r="T163" i="16"/>
  <c r="T176" i="16" s="1"/>
  <c r="V160" i="16"/>
  <c r="T160" i="16"/>
  <c r="AF159" i="16"/>
  <c r="AE159" i="16"/>
  <c r="AD159" i="16"/>
  <c r="AC159" i="16"/>
  <c r="AB159" i="16"/>
  <c r="AA159" i="16"/>
  <c r="Z159" i="16"/>
  <c r="Y159" i="16"/>
  <c r="X159" i="16"/>
  <c r="W159" i="16"/>
  <c r="V159" i="16"/>
  <c r="U159" i="16"/>
  <c r="U160" i="16" s="1"/>
  <c r="T159" i="16"/>
  <c r="AK153" i="16"/>
  <c r="AG152" i="16"/>
  <c r="AF152" i="16"/>
  <c r="AE152" i="16"/>
  <c r="AD152" i="16"/>
  <c r="AC152" i="16"/>
  <c r="AA152" i="16"/>
  <c r="Z152" i="16"/>
  <c r="Y152" i="16"/>
  <c r="X152" i="16"/>
  <c r="W152" i="16"/>
  <c r="V152" i="16"/>
  <c r="U152" i="16"/>
  <c r="T152" i="16"/>
  <c r="S152" i="16"/>
  <c r="R152" i="16"/>
  <c r="J138" i="16"/>
  <c r="AK133" i="16"/>
  <c r="AG132" i="16"/>
  <c r="AE132" i="16"/>
  <c r="AD132" i="16"/>
  <c r="AC132" i="16"/>
  <c r="AA132" i="16"/>
  <c r="Z132" i="16"/>
  <c r="Y132" i="16"/>
  <c r="X132" i="16"/>
  <c r="W132" i="16"/>
  <c r="V132" i="16"/>
  <c r="U132" i="16"/>
  <c r="T132" i="16"/>
  <c r="S132" i="16"/>
  <c r="AK131" i="16"/>
  <c r="J131" i="16"/>
  <c r="AK130" i="16"/>
  <c r="J130" i="16"/>
  <c r="AK129" i="16"/>
  <c r="J129" i="16"/>
  <c r="I128" i="16"/>
  <c r="J128" i="16" s="1"/>
  <c r="J127" i="16"/>
  <c r="I127" i="16"/>
  <c r="L127" i="16" s="1"/>
  <c r="O127" i="16" s="1"/>
  <c r="O126" i="16"/>
  <c r="I126" i="16"/>
  <c r="J126" i="16" s="1"/>
  <c r="I125" i="16"/>
  <c r="L125" i="16" s="1"/>
  <c r="O125" i="16" s="1"/>
  <c r="L124" i="16"/>
  <c r="O124" i="16" s="1"/>
  <c r="J124" i="16"/>
  <c r="O123" i="16"/>
  <c r="J123" i="16"/>
  <c r="O122" i="16"/>
  <c r="J122" i="16"/>
  <c r="AI121" i="16"/>
  <c r="AK121" i="16" s="1"/>
  <c r="O121" i="16"/>
  <c r="J121" i="16"/>
  <c r="AF120" i="16"/>
  <c r="AF132" i="16" s="1"/>
  <c r="L120" i="16"/>
  <c r="O120" i="16" s="1"/>
  <c r="J120" i="16"/>
  <c r="O119" i="16"/>
  <c r="L119" i="16"/>
  <c r="J119" i="16"/>
  <c r="O118" i="16"/>
  <c r="J118" i="16"/>
  <c r="AK117" i="16"/>
  <c r="J117" i="16"/>
  <c r="AK116" i="16"/>
  <c r="L116" i="16"/>
  <c r="J116" i="16"/>
  <c r="O115" i="16"/>
  <c r="J115" i="16"/>
  <c r="O114" i="16"/>
  <c r="J114" i="16"/>
  <c r="O113" i="16"/>
  <c r="J113" i="16"/>
  <c r="O112" i="16"/>
  <c r="J112" i="16"/>
  <c r="O111" i="16"/>
  <c r="J111" i="16"/>
  <c r="AK110" i="16"/>
  <c r="L110" i="16"/>
  <c r="J110" i="16"/>
  <c r="R109" i="16"/>
  <c r="O109" i="16"/>
  <c r="J109" i="16"/>
  <c r="O108" i="16"/>
  <c r="J108" i="16"/>
  <c r="O107" i="16"/>
  <c r="L107" i="16"/>
  <c r="J107" i="16"/>
  <c r="L106" i="16"/>
  <c r="O106" i="16" s="1"/>
  <c r="J106" i="16"/>
  <c r="AK105" i="16"/>
  <c r="L105" i="16"/>
  <c r="J105" i="16"/>
  <c r="L104" i="16"/>
  <c r="O104" i="16" s="1"/>
  <c r="J104" i="16"/>
  <c r="L103" i="16"/>
  <c r="O103" i="16" s="1"/>
  <c r="J103" i="16"/>
  <c r="L102" i="16"/>
  <c r="O102" i="16" s="1"/>
  <c r="J102" i="16"/>
  <c r="R101" i="16"/>
  <c r="L101" i="16"/>
  <c r="O101" i="16" s="1"/>
  <c r="J101" i="16"/>
  <c r="L100" i="16"/>
  <c r="O100" i="16" s="1"/>
  <c r="J100" i="16"/>
  <c r="O99" i="16"/>
  <c r="J99" i="16"/>
  <c r="O98" i="16"/>
  <c r="J98" i="16"/>
  <c r="I98" i="16"/>
  <c r="L97" i="16"/>
  <c r="O97" i="16" s="1"/>
  <c r="J97" i="16"/>
  <c r="L96" i="16"/>
  <c r="O96" i="16" s="1"/>
  <c r="J96" i="16"/>
  <c r="O95" i="16"/>
  <c r="L95" i="16"/>
  <c r="J95" i="16"/>
  <c r="L94" i="16"/>
  <c r="O94" i="16" s="1"/>
  <c r="J94" i="16"/>
  <c r="L93" i="16"/>
  <c r="O93" i="16" s="1"/>
  <c r="J93" i="16"/>
  <c r="L92" i="16"/>
  <c r="O92" i="16" s="1"/>
  <c r="J92" i="16"/>
  <c r="O91" i="16"/>
  <c r="J91" i="16"/>
  <c r="O90" i="16"/>
  <c r="J90" i="16"/>
  <c r="L89" i="16"/>
  <c r="O89" i="16" s="1"/>
  <c r="J89" i="16"/>
  <c r="AK88" i="16"/>
  <c r="AG87" i="16"/>
  <c r="AF87" i="16"/>
  <c r="AE87" i="16"/>
  <c r="AD87" i="16"/>
  <c r="AC87" i="16"/>
  <c r="AA87" i="16"/>
  <c r="Z87" i="16"/>
  <c r="Y87" i="16"/>
  <c r="X87" i="16"/>
  <c r="W87" i="16"/>
  <c r="V87" i="16"/>
  <c r="U87" i="16"/>
  <c r="T87" i="16"/>
  <c r="S87" i="16"/>
  <c r="R87" i="16"/>
  <c r="L86" i="16"/>
  <c r="O86" i="16" s="1"/>
  <c r="J86" i="16"/>
  <c r="AK85" i="16"/>
  <c r="AG84" i="16"/>
  <c r="AF84" i="16"/>
  <c r="AE84" i="16"/>
  <c r="AD84" i="16"/>
  <c r="AC84" i="16"/>
  <c r="AA84" i="16"/>
  <c r="Z84" i="16"/>
  <c r="Y84" i="16"/>
  <c r="X84" i="16"/>
  <c r="W84" i="16"/>
  <c r="V84" i="16"/>
  <c r="U84" i="16"/>
  <c r="T84" i="16"/>
  <c r="S84" i="16"/>
  <c r="R84" i="16"/>
  <c r="O83" i="16"/>
  <c r="J83" i="16"/>
  <c r="O82" i="16"/>
  <c r="J82" i="16"/>
  <c r="O81" i="16"/>
  <c r="J81" i="16"/>
  <c r="O80" i="16"/>
  <c r="J80" i="16"/>
  <c r="O79" i="16"/>
  <c r="J79" i="16"/>
  <c r="O78" i="16"/>
  <c r="J78" i="16"/>
  <c r="O77" i="16"/>
  <c r="Y76" i="16"/>
  <c r="I76" i="16"/>
  <c r="J76" i="16" s="1"/>
  <c r="Y75" i="16"/>
  <c r="I75" i="16"/>
  <c r="L75" i="16" s="1"/>
  <c r="O75" i="16" s="1"/>
  <c r="Y74" i="16"/>
  <c r="L74" i="16"/>
  <c r="O74" i="16" s="1"/>
  <c r="J74" i="16"/>
  <c r="O73" i="16"/>
  <c r="O72" i="16"/>
  <c r="J72" i="16"/>
  <c r="O71" i="16"/>
  <c r="J71" i="16"/>
  <c r="O70" i="16"/>
  <c r="J70" i="16"/>
  <c r="O69" i="16"/>
  <c r="O68" i="16"/>
  <c r="AK67" i="16"/>
  <c r="AG66" i="16"/>
  <c r="AF66" i="16"/>
  <c r="AE66" i="16"/>
  <c r="AD66" i="16"/>
  <c r="AC66" i="16"/>
  <c r="AA66" i="16"/>
  <c r="Z66" i="16"/>
  <c r="Y66" i="16"/>
  <c r="X66" i="16"/>
  <c r="W66" i="16"/>
  <c r="V66" i="16"/>
  <c r="U66" i="16"/>
  <c r="T66" i="16"/>
  <c r="S66" i="16"/>
  <c r="R66" i="16"/>
  <c r="O65" i="16"/>
  <c r="J65" i="16"/>
  <c r="AK64" i="16"/>
  <c r="AG63" i="16"/>
  <c r="AF63" i="16"/>
  <c r="AE63" i="16"/>
  <c r="AD63" i="16"/>
  <c r="AC63" i="16"/>
  <c r="AA63" i="16"/>
  <c r="Z63" i="16"/>
  <c r="Y63" i="16"/>
  <c r="X63" i="16"/>
  <c r="W63" i="16"/>
  <c r="V63" i="16"/>
  <c r="U63" i="16"/>
  <c r="T63" i="16"/>
  <c r="S63" i="16"/>
  <c r="R63" i="16"/>
  <c r="X62" i="16"/>
  <c r="O62" i="16"/>
  <c r="J62" i="16"/>
  <c r="O61" i="16"/>
  <c r="J61" i="16"/>
  <c r="O60" i="16"/>
  <c r="O59" i="16"/>
  <c r="J59" i="16"/>
  <c r="O58" i="16"/>
  <c r="J58" i="16"/>
  <c r="AK57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AI55" i="16"/>
  <c r="R55" i="16"/>
  <c r="O55" i="16"/>
  <c r="J55" i="16"/>
  <c r="AI54" i="16"/>
  <c r="AK54" i="16" s="1"/>
  <c r="R54" i="16"/>
  <c r="R56" i="16" s="1"/>
  <c r="O54" i="16"/>
  <c r="J54" i="16"/>
  <c r="AK53" i="16"/>
  <c r="AG52" i="16"/>
  <c r="AF52" i="16"/>
  <c r="AE52" i="16"/>
  <c r="AD52" i="16"/>
  <c r="AC52" i="16"/>
  <c r="AA52" i="16"/>
  <c r="Z52" i="16"/>
  <c r="Y52" i="16"/>
  <c r="X52" i="16"/>
  <c r="V52" i="16"/>
  <c r="U52" i="16"/>
  <c r="T52" i="16"/>
  <c r="S52" i="16"/>
  <c r="R52" i="16"/>
  <c r="O51" i="16"/>
  <c r="J51" i="16"/>
  <c r="W50" i="16"/>
  <c r="W52" i="16" s="1"/>
  <c r="O50" i="16"/>
  <c r="J50" i="16"/>
  <c r="AI49" i="16"/>
  <c r="AK49" i="16" s="1"/>
  <c r="J49" i="16"/>
  <c r="AK48" i="16"/>
  <c r="AG47" i="16"/>
  <c r="AF47" i="16"/>
  <c r="AE47" i="16"/>
  <c r="AD47" i="16"/>
  <c r="AC47" i="16"/>
  <c r="AA47" i="16"/>
  <c r="Z47" i="16"/>
  <c r="Y47" i="16"/>
  <c r="V47" i="16"/>
  <c r="U47" i="16"/>
  <c r="T47" i="16"/>
  <c r="S47" i="16"/>
  <c r="R47" i="16"/>
  <c r="O46" i="16"/>
  <c r="J46" i="16"/>
  <c r="X45" i="16"/>
  <c r="X47" i="16" s="1"/>
  <c r="O45" i="16"/>
  <c r="J45" i="16"/>
  <c r="X44" i="16"/>
  <c r="W44" i="16"/>
  <c r="W47" i="16" s="1"/>
  <c r="O44" i="16"/>
  <c r="J44" i="16"/>
  <c r="AK43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AI41" i="16"/>
  <c r="AK41" i="16" s="1"/>
  <c r="O41" i="16"/>
  <c r="AI40" i="16"/>
  <c r="AK40" i="16" s="1"/>
  <c r="R40" i="16"/>
  <c r="R42" i="16" s="1"/>
  <c r="AK39" i="16"/>
  <c r="AG38" i="16"/>
  <c r="AF38" i="16"/>
  <c r="AE38" i="16"/>
  <c r="AD38" i="16"/>
  <c r="AC38" i="16"/>
  <c r="AA38" i="16"/>
  <c r="Y38" i="16"/>
  <c r="X38" i="16"/>
  <c r="V38" i="16"/>
  <c r="U38" i="16"/>
  <c r="T38" i="16"/>
  <c r="S38" i="16"/>
  <c r="O37" i="16"/>
  <c r="J37" i="16"/>
  <c r="O35" i="16"/>
  <c r="J35" i="16"/>
  <c r="O34" i="16"/>
  <c r="J34" i="16"/>
  <c r="X33" i="16"/>
  <c r="O33" i="16"/>
  <c r="J33" i="16"/>
  <c r="Z32" i="16"/>
  <c r="O32" i="16"/>
  <c r="J32" i="16"/>
  <c r="Z31" i="16"/>
  <c r="Z38" i="16" s="1"/>
  <c r="W31" i="16"/>
  <c r="R31" i="16"/>
  <c r="R38" i="16" s="1"/>
  <c r="O31" i="16"/>
  <c r="J31" i="16"/>
  <c r="O30" i="16"/>
  <c r="J30" i="16"/>
  <c r="O29" i="16"/>
  <c r="J29" i="16"/>
  <c r="O28" i="16"/>
  <c r="AK27" i="16"/>
  <c r="AG26" i="16"/>
  <c r="AF26" i="16"/>
  <c r="AE26" i="16"/>
  <c r="AD26" i="16"/>
  <c r="AC26" i="16"/>
  <c r="AA26" i="16"/>
  <c r="Z26" i="16"/>
  <c r="Y26" i="16"/>
  <c r="X26" i="16"/>
  <c r="W26" i="16"/>
  <c r="V26" i="16"/>
  <c r="U26" i="16"/>
  <c r="T26" i="16"/>
  <c r="S26" i="16"/>
  <c r="R26" i="16"/>
  <c r="O25" i="16"/>
  <c r="J25" i="16"/>
  <c r="O24" i="16"/>
  <c r="J24" i="16"/>
  <c r="O23" i="16"/>
  <c r="J23" i="16"/>
  <c r="AK22" i="16"/>
  <c r="AG21" i="16"/>
  <c r="AF21" i="16"/>
  <c r="AE21" i="16"/>
  <c r="AD21" i="16"/>
  <c r="AC21" i="16"/>
  <c r="AC154" i="16" s="1"/>
  <c r="AC156" i="16" s="1"/>
  <c r="AA21" i="16"/>
  <c r="Z21" i="16"/>
  <c r="W21" i="16"/>
  <c r="V21" i="16"/>
  <c r="U21" i="16"/>
  <c r="T21" i="16"/>
  <c r="S21" i="16"/>
  <c r="R21" i="16"/>
  <c r="L20" i="16"/>
  <c r="M20" i="16" s="1"/>
  <c r="O20" i="16" s="1"/>
  <c r="I20" i="16"/>
  <c r="J20" i="16" s="1"/>
  <c r="I19" i="16"/>
  <c r="L19" i="16" s="1"/>
  <c r="M19" i="16" s="1"/>
  <c r="O19" i="16" s="1"/>
  <c r="L18" i="16"/>
  <c r="M18" i="16" s="1"/>
  <c r="O18" i="16" s="1"/>
  <c r="J18" i="16"/>
  <c r="O17" i="16"/>
  <c r="J17" i="16"/>
  <c r="O16" i="16"/>
  <c r="J16" i="16"/>
  <c r="O15" i="16"/>
  <c r="J15" i="16"/>
  <c r="X14" i="16"/>
  <c r="R14" i="16"/>
  <c r="O14" i="16"/>
  <c r="J14" i="16"/>
  <c r="I14" i="16"/>
  <c r="Y13" i="16"/>
  <c r="Y21" i="16" s="1"/>
  <c r="O13" i="16"/>
  <c r="J13" i="16"/>
  <c r="X12" i="16"/>
  <c r="O12" i="16"/>
  <c r="J12" i="16"/>
  <c r="Z11" i="16"/>
  <c r="X11" i="16"/>
  <c r="O11" i="16"/>
  <c r="J11" i="16"/>
  <c r="X10" i="16"/>
  <c r="R10" i="16"/>
  <c r="O10" i="16"/>
  <c r="J10" i="16"/>
  <c r="O9" i="16"/>
  <c r="J9" i="16"/>
  <c r="O8" i="16"/>
  <c r="J8" i="16"/>
  <c r="O7" i="16"/>
  <c r="J7" i="16"/>
  <c r="O6" i="16"/>
  <c r="J6" i="16"/>
  <c r="O5" i="16"/>
  <c r="J5" i="16"/>
  <c r="R4" i="16"/>
  <c r="O4" i="16"/>
  <c r="J4" i="16"/>
  <c r="AD84" i="19" l="1"/>
  <c r="AD135" i="19" s="1"/>
  <c r="V135" i="19"/>
  <c r="AX12" i="19"/>
  <c r="AZ12" i="19" s="1"/>
  <c r="AX33" i="19"/>
  <c r="AZ33" i="19" s="1"/>
  <c r="AX81" i="19"/>
  <c r="AZ81" i="19" s="1"/>
  <c r="AC84" i="19"/>
  <c r="AX13" i="19"/>
  <c r="AZ13" i="19" s="1"/>
  <c r="AX31" i="19"/>
  <c r="AZ31" i="19" s="1"/>
  <c r="AX32" i="19"/>
  <c r="AZ32" i="19" s="1"/>
  <c r="AX11" i="19"/>
  <c r="AZ11" i="19" s="1"/>
  <c r="AX83" i="19"/>
  <c r="AZ83" i="19" s="1"/>
  <c r="AX42" i="19"/>
  <c r="AZ42" i="19" s="1"/>
  <c r="AB63" i="19"/>
  <c r="AX62" i="19"/>
  <c r="AZ62" i="19" s="1"/>
  <c r="AX58" i="19"/>
  <c r="AZ58" i="19" s="1"/>
  <c r="AA63" i="19"/>
  <c r="S129" i="19"/>
  <c r="N127" i="19"/>
  <c r="Q127" i="19"/>
  <c r="S127" i="19" s="1"/>
  <c r="Y159" i="19"/>
  <c r="Y160" i="19" s="1"/>
  <c r="AZ52" i="19"/>
  <c r="AZ14" i="19"/>
  <c r="AA50" i="19"/>
  <c r="AZ102" i="19"/>
  <c r="N19" i="19"/>
  <c r="AZ53" i="19"/>
  <c r="AX54" i="19"/>
  <c r="AZ4" i="19"/>
  <c r="N83" i="19"/>
  <c r="X159" i="19"/>
  <c r="X160" i="19" s="1"/>
  <c r="AZ10" i="19"/>
  <c r="Q20" i="19"/>
  <c r="S20" i="19" s="1"/>
  <c r="AX47" i="19"/>
  <c r="AZ47" i="19" s="1"/>
  <c r="Z159" i="19"/>
  <c r="Z160" i="19" s="1"/>
  <c r="N129" i="19"/>
  <c r="AX26" i="19"/>
  <c r="AZ26" i="19" s="1"/>
  <c r="AZ40" i="19"/>
  <c r="AZ180" i="19"/>
  <c r="AX190" i="19"/>
  <c r="AZ190" i="19" s="1"/>
  <c r="AX87" i="19"/>
  <c r="AZ87" i="19" s="1"/>
  <c r="AX66" i="19"/>
  <c r="AZ66" i="19" s="1"/>
  <c r="N128" i="19"/>
  <c r="V54" i="19"/>
  <c r="AX44" i="19"/>
  <c r="AZ44" i="19" s="1"/>
  <c r="AX82" i="19"/>
  <c r="AZ82" i="19" s="1"/>
  <c r="N126" i="19"/>
  <c r="N82" i="19"/>
  <c r="AC152" i="18"/>
  <c r="AI152" i="18" s="1"/>
  <c r="AK152" i="18" s="1"/>
  <c r="AI132" i="18"/>
  <c r="AK132" i="18" s="1"/>
  <c r="AI92" i="18"/>
  <c r="AK92" i="18" s="1"/>
  <c r="AI87" i="18"/>
  <c r="AK87" i="18" s="1"/>
  <c r="AI86" i="18"/>
  <c r="AK86" i="18" s="1"/>
  <c r="AI84" i="18"/>
  <c r="AK84" i="18" s="1"/>
  <c r="AI54" i="18"/>
  <c r="AK54" i="18" s="1"/>
  <c r="AC52" i="18"/>
  <c r="AI52" i="18" s="1"/>
  <c r="AK52" i="18" s="1"/>
  <c r="AI47" i="18"/>
  <c r="AK47" i="18" s="1"/>
  <c r="AI44" i="18"/>
  <c r="AK44" i="18" s="1"/>
  <c r="AC42" i="18"/>
  <c r="AI42" i="18" s="1"/>
  <c r="AK42" i="18" s="1"/>
  <c r="AI28" i="18"/>
  <c r="AK28" i="18" s="1"/>
  <c r="AI38" i="18"/>
  <c r="AK38" i="18" s="1"/>
  <c r="AC26" i="18"/>
  <c r="AI26" i="18" s="1"/>
  <c r="AK26" i="18" s="1"/>
  <c r="AC21" i="18"/>
  <c r="AI21" i="18"/>
  <c r="AK21" i="18" s="1"/>
  <c r="AF154" i="18"/>
  <c r="AF176" i="18"/>
  <c r="T154" i="16"/>
  <c r="T156" i="16" s="1"/>
  <c r="AE154" i="16"/>
  <c r="AE156" i="16" s="1"/>
  <c r="AD154" i="16"/>
  <c r="AD156" i="16" s="1"/>
  <c r="J75" i="16"/>
  <c r="J125" i="16"/>
  <c r="L128" i="16"/>
  <c r="O128" i="16" s="1"/>
  <c r="U154" i="16"/>
  <c r="U156" i="16" s="1"/>
  <c r="AF154" i="16"/>
  <c r="S154" i="16"/>
  <c r="AG154" i="16"/>
  <c r="L76" i="16"/>
  <c r="O76" i="16" s="1"/>
  <c r="Y154" i="16"/>
  <c r="Y156" i="16" s="1"/>
  <c r="V154" i="16"/>
  <c r="V156" i="16" s="1"/>
  <c r="Z154" i="16"/>
  <c r="Z156" i="16" s="1"/>
  <c r="AA154" i="16"/>
  <c r="AA156" i="16" s="1"/>
  <c r="AI56" i="16"/>
  <c r="AK56" i="16" s="1"/>
  <c r="AI42" i="16"/>
  <c r="AK42" i="16" s="1"/>
  <c r="AK55" i="16"/>
  <c r="AB66" i="16"/>
  <c r="AI66" i="16" s="1"/>
  <c r="AK66" i="16" s="1"/>
  <c r="T177" i="16"/>
  <c r="AF176" i="16"/>
  <c r="R154" i="16"/>
  <c r="S156" i="16"/>
  <c r="W38" i="16"/>
  <c r="W154" i="16" s="1"/>
  <c r="AI120" i="16"/>
  <c r="AK120" i="16" s="1"/>
  <c r="R132" i="16"/>
  <c r="J19" i="16"/>
  <c r="X21" i="16"/>
  <c r="AJ5" i="14"/>
  <c r="AJ6" i="14"/>
  <c r="AJ7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32" i="14"/>
  <c r="AJ33" i="14"/>
  <c r="AJ34" i="14"/>
  <c r="AJ35" i="14"/>
  <c r="AJ36" i="14"/>
  <c r="AJ37" i="14"/>
  <c r="AJ38" i="14"/>
  <c r="AJ39" i="14"/>
  <c r="AJ40" i="14"/>
  <c r="AJ41" i="14"/>
  <c r="AJ42" i="14"/>
  <c r="AJ43" i="14"/>
  <c r="AJ44" i="14"/>
  <c r="AJ45" i="14"/>
  <c r="AJ46" i="14"/>
  <c r="AJ47" i="14"/>
  <c r="AJ48" i="14"/>
  <c r="AJ49" i="14"/>
  <c r="AJ50" i="14"/>
  <c r="AJ51" i="14"/>
  <c r="AJ52" i="14"/>
  <c r="AJ53" i="14"/>
  <c r="AJ54" i="14"/>
  <c r="AJ55" i="14"/>
  <c r="AJ56" i="14"/>
  <c r="AJ57" i="14"/>
  <c r="AJ58" i="14"/>
  <c r="AJ59" i="14"/>
  <c r="AJ60" i="14"/>
  <c r="AJ61" i="14"/>
  <c r="AJ62" i="14"/>
  <c r="AJ63" i="14"/>
  <c r="AJ64" i="14"/>
  <c r="AJ65" i="14"/>
  <c r="AJ66" i="14"/>
  <c r="AJ67" i="14"/>
  <c r="AJ68" i="14"/>
  <c r="AJ69" i="14"/>
  <c r="AJ70" i="14"/>
  <c r="AJ71" i="14"/>
  <c r="AJ72" i="14"/>
  <c r="AJ73" i="14"/>
  <c r="AJ74" i="14"/>
  <c r="AJ75" i="14"/>
  <c r="AJ76" i="14"/>
  <c r="AJ77" i="14"/>
  <c r="AJ78" i="14"/>
  <c r="AJ79" i="14"/>
  <c r="AJ80" i="14"/>
  <c r="AJ81" i="14"/>
  <c r="AJ82" i="14"/>
  <c r="AJ83" i="14"/>
  <c r="AJ84" i="14"/>
  <c r="AJ85" i="14"/>
  <c r="AJ86" i="14"/>
  <c r="AJ87" i="14"/>
  <c r="AJ88" i="14"/>
  <c r="AJ89" i="14"/>
  <c r="AJ90" i="14"/>
  <c r="AJ91" i="14"/>
  <c r="AJ92" i="14"/>
  <c r="AJ93" i="14"/>
  <c r="AJ94" i="14"/>
  <c r="AJ95" i="14"/>
  <c r="AJ96" i="14"/>
  <c r="AJ97" i="14"/>
  <c r="AJ98" i="14"/>
  <c r="AJ99" i="14"/>
  <c r="AJ100" i="14"/>
  <c r="AJ101" i="14"/>
  <c r="AJ102" i="14"/>
  <c r="AJ103" i="14"/>
  <c r="AJ104" i="14"/>
  <c r="AJ105" i="14"/>
  <c r="AJ106" i="14"/>
  <c r="AJ107" i="14"/>
  <c r="AJ108" i="14"/>
  <c r="AJ109" i="14"/>
  <c r="AJ110" i="14"/>
  <c r="AJ111" i="14"/>
  <c r="AJ112" i="14"/>
  <c r="AJ113" i="14"/>
  <c r="AJ114" i="14"/>
  <c r="AJ115" i="14"/>
  <c r="AJ116" i="14"/>
  <c r="AJ117" i="14"/>
  <c r="AJ118" i="14"/>
  <c r="AJ119" i="14"/>
  <c r="AJ120" i="14"/>
  <c r="AJ121" i="14"/>
  <c r="AJ122" i="14"/>
  <c r="AJ123" i="14"/>
  <c r="AJ124" i="14"/>
  <c r="AJ125" i="14"/>
  <c r="AJ126" i="14"/>
  <c r="AJ127" i="14"/>
  <c r="AJ128" i="14"/>
  <c r="AJ129" i="14"/>
  <c r="AJ130" i="14"/>
  <c r="AJ131" i="14"/>
  <c r="AJ132" i="14"/>
  <c r="AJ133" i="14"/>
  <c r="AJ134" i="14"/>
  <c r="AJ135" i="14"/>
  <c r="AJ136" i="14"/>
  <c r="AJ137" i="14"/>
  <c r="AJ138" i="14"/>
  <c r="AJ139" i="14"/>
  <c r="AJ140" i="14"/>
  <c r="AJ141" i="14"/>
  <c r="AJ142" i="14"/>
  <c r="AJ143" i="14"/>
  <c r="AJ144" i="14"/>
  <c r="AJ145" i="14"/>
  <c r="AJ146" i="14"/>
  <c r="AJ147" i="14"/>
  <c r="AJ148" i="14"/>
  <c r="AJ149" i="14"/>
  <c r="AJ150" i="14"/>
  <c r="AJ151" i="14"/>
  <c r="AJ152" i="14"/>
  <c r="AJ153" i="14"/>
  <c r="AJ154" i="14"/>
  <c r="AJ4" i="14"/>
  <c r="R132" i="14"/>
  <c r="S132" i="14"/>
  <c r="T132" i="14"/>
  <c r="U132" i="14"/>
  <c r="V132" i="14"/>
  <c r="W132" i="14"/>
  <c r="X132" i="14"/>
  <c r="Y132" i="14"/>
  <c r="Z132" i="14"/>
  <c r="AA132" i="14"/>
  <c r="AB132" i="14"/>
  <c r="AC132" i="14"/>
  <c r="AD132" i="14"/>
  <c r="AE132" i="14"/>
  <c r="AF132" i="14"/>
  <c r="Q132" i="14"/>
  <c r="AC135" i="19" l="1"/>
  <c r="AX63" i="19"/>
  <c r="AZ63" i="19" s="1"/>
  <c r="AX21" i="19"/>
  <c r="AZ21" i="19" s="1"/>
  <c r="AX50" i="19"/>
  <c r="AZ50" i="19" s="1"/>
  <c r="AJ159" i="19"/>
  <c r="AX38" i="19"/>
  <c r="AZ38" i="19" s="1"/>
  <c r="AZ54" i="19"/>
  <c r="AC154" i="18"/>
  <c r="AC156" i="18" s="1"/>
  <c r="W156" i="16"/>
  <c r="X154" i="16"/>
  <c r="X156" i="16" s="1"/>
  <c r="AH138" i="14"/>
  <c r="I138" i="14"/>
  <c r="R21" i="14"/>
  <c r="S21" i="14"/>
  <c r="T21" i="14"/>
  <c r="U21" i="14"/>
  <c r="V21" i="14"/>
  <c r="AA21" i="14"/>
  <c r="AB21" i="14"/>
  <c r="AC21" i="14"/>
  <c r="AD21" i="14"/>
  <c r="AE21" i="14"/>
  <c r="AF21" i="14"/>
  <c r="AE120" i="14"/>
  <c r="N91" i="14"/>
  <c r="N92" i="14"/>
  <c r="N93" i="14"/>
  <c r="N94" i="14"/>
  <c r="N95" i="14"/>
  <c r="N96" i="14"/>
  <c r="N97" i="14"/>
  <c r="N18" i="14"/>
  <c r="N19" i="14"/>
  <c r="N20" i="14"/>
  <c r="N98" i="14"/>
  <c r="N99" i="14"/>
  <c r="N100" i="14"/>
  <c r="N101" i="14"/>
  <c r="N102" i="14"/>
  <c r="N103" i="14"/>
  <c r="N104" i="14"/>
  <c r="N107" i="14"/>
  <c r="N120" i="14"/>
  <c r="N108" i="14"/>
  <c r="N109" i="14"/>
  <c r="N106" i="14"/>
  <c r="N119" i="14"/>
  <c r="N118" i="14"/>
  <c r="N111" i="14"/>
  <c r="N121" i="14"/>
  <c r="N115" i="14"/>
  <c r="N112" i="14"/>
  <c r="N113" i="14"/>
  <c r="N114" i="14"/>
  <c r="N122" i="14"/>
  <c r="N123" i="14"/>
  <c r="N124" i="14"/>
  <c r="N125" i="14"/>
  <c r="N126" i="14"/>
  <c r="N127" i="14"/>
  <c r="N128" i="14"/>
  <c r="N88" i="14"/>
  <c r="N89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67" i="14"/>
  <c r="N51" i="14"/>
  <c r="N41" i="14"/>
  <c r="N28" i="14"/>
  <c r="N29" i="14"/>
  <c r="I55" i="14"/>
  <c r="I54" i="14"/>
  <c r="I50" i="14"/>
  <c r="I51" i="14"/>
  <c r="I49" i="14"/>
  <c r="I81" i="14"/>
  <c r="I107" i="14"/>
  <c r="I120" i="14"/>
  <c r="I108" i="14"/>
  <c r="I109" i="14"/>
  <c r="I106" i="14"/>
  <c r="I119" i="14"/>
  <c r="I118" i="14"/>
  <c r="I111" i="14"/>
  <c r="I121" i="14"/>
  <c r="I115" i="14"/>
  <c r="I112" i="14"/>
  <c r="I113" i="14"/>
  <c r="I114" i="14"/>
  <c r="I122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Q85" i="14"/>
  <c r="AI154" i="18" l="1"/>
  <c r="AK154" i="18" s="1"/>
  <c r="AH85" i="14"/>
  <c r="AH114" i="14"/>
  <c r="AH113" i="14"/>
  <c r="AH108" i="14"/>
  <c r="R38" i="14"/>
  <c r="S38" i="14"/>
  <c r="T38" i="14"/>
  <c r="U38" i="14"/>
  <c r="X38" i="14"/>
  <c r="Z38" i="14"/>
  <c r="AA38" i="14"/>
  <c r="AB38" i="14"/>
  <c r="AC38" i="14"/>
  <c r="AD38" i="14"/>
  <c r="AE38" i="14"/>
  <c r="AF38" i="14"/>
  <c r="Q26" i="14"/>
  <c r="Q109" i="14"/>
  <c r="Q101" i="14"/>
  <c r="AH91" i="14" l="1"/>
  <c r="AH92" i="14"/>
  <c r="AH93" i="14"/>
  <c r="AH94" i="14"/>
  <c r="AH95" i="14"/>
  <c r="AH96" i="14"/>
  <c r="AH97" i="14"/>
  <c r="AH148" i="14"/>
  <c r="AH18" i="14"/>
  <c r="AH19" i="14"/>
  <c r="AH20" i="14"/>
  <c r="AH147" i="14"/>
  <c r="AH98" i="14"/>
  <c r="AH99" i="14"/>
  <c r="AH100" i="14"/>
  <c r="AH101" i="14"/>
  <c r="AH102" i="14"/>
  <c r="AH103" i="14"/>
  <c r="AH104" i="14"/>
  <c r="AH107" i="14"/>
  <c r="AH120" i="14"/>
  <c r="AH109" i="14"/>
  <c r="AH106" i="14"/>
  <c r="AH119" i="14"/>
  <c r="AH118" i="14"/>
  <c r="AH111" i="14"/>
  <c r="AH121" i="14"/>
  <c r="AH115" i="14"/>
  <c r="AH112" i="14"/>
  <c r="AH122" i="14"/>
  <c r="AH84" i="14"/>
  <c r="AH123" i="14"/>
  <c r="AH124" i="14"/>
  <c r="AH125" i="14"/>
  <c r="AH126" i="14"/>
  <c r="AH127" i="14"/>
  <c r="AH128" i="14"/>
  <c r="AH68" i="14"/>
  <c r="AH81" i="14"/>
  <c r="AH60" i="14"/>
  <c r="R82" i="14" l="1"/>
  <c r="S82" i="14"/>
  <c r="T82" i="14"/>
  <c r="U82" i="14"/>
  <c r="V82" i="14"/>
  <c r="W82" i="14"/>
  <c r="Y82" i="14"/>
  <c r="Z82" i="14"/>
  <c r="AA82" i="14"/>
  <c r="AB82" i="14"/>
  <c r="AC82" i="14"/>
  <c r="AD82" i="14"/>
  <c r="AE82" i="14"/>
  <c r="AF82" i="14"/>
  <c r="Q82" i="14"/>
  <c r="AH59" i="14"/>
  <c r="N84" i="14" l="1"/>
  <c r="I88" i="14"/>
  <c r="I89" i="14"/>
  <c r="I90" i="14"/>
  <c r="I91" i="14"/>
  <c r="I92" i="14"/>
  <c r="I93" i="14"/>
  <c r="I94" i="14"/>
  <c r="I95" i="14"/>
  <c r="I96" i="14"/>
  <c r="I97" i="14"/>
  <c r="I18" i="14"/>
  <c r="I19" i="14"/>
  <c r="I20" i="14"/>
  <c r="I98" i="14"/>
  <c r="I99" i="14"/>
  <c r="I100" i="14"/>
  <c r="I101" i="14"/>
  <c r="I102" i="14"/>
  <c r="I103" i="14"/>
  <c r="I104" i="14"/>
  <c r="I84" i="14"/>
  <c r="I123" i="14"/>
  <c r="I124" i="14"/>
  <c r="I125" i="14"/>
  <c r="I126" i="14"/>
  <c r="I127" i="14"/>
  <c r="I128" i="14"/>
  <c r="I16" i="14"/>
  <c r="H34" i="1"/>
  <c r="I69" i="14"/>
  <c r="I70" i="14"/>
  <c r="I71" i="14"/>
  <c r="I73" i="14"/>
  <c r="I74" i="14"/>
  <c r="I75" i="14"/>
  <c r="I77" i="14"/>
  <c r="I78" i="14"/>
  <c r="I79" i="14"/>
  <c r="I80" i="14"/>
  <c r="I64" i="14"/>
  <c r="I59" i="14"/>
  <c r="I60" i="14"/>
  <c r="I61" i="14"/>
  <c r="I58" i="14"/>
  <c r="N55" i="14"/>
  <c r="I45" i="14"/>
  <c r="I46" i="14"/>
  <c r="I44" i="14"/>
  <c r="N46" i="14"/>
  <c r="N87" i="14"/>
  <c r="N30" i="14"/>
  <c r="I30" i="14"/>
  <c r="I31" i="14"/>
  <c r="I32" i="14"/>
  <c r="I33" i="14"/>
  <c r="I34" i="14"/>
  <c r="I35" i="14"/>
  <c r="I87" i="14"/>
  <c r="I37" i="14"/>
  <c r="I29" i="14"/>
  <c r="I24" i="14"/>
  <c r="I25" i="14"/>
  <c r="I23" i="14"/>
  <c r="I4" i="14"/>
  <c r="I17" i="14"/>
  <c r="I15" i="14"/>
  <c r="H14" i="14"/>
  <c r="I14" i="14" s="1"/>
  <c r="I13" i="14"/>
  <c r="I12" i="14"/>
  <c r="I9" i="14"/>
  <c r="I10" i="14"/>
  <c r="I11" i="14"/>
  <c r="I8" i="14"/>
  <c r="I7" i="14"/>
  <c r="I6" i="14"/>
  <c r="I5" i="14"/>
  <c r="Q107" i="1"/>
  <c r="R107" i="1" s="1"/>
  <c r="V106" i="1"/>
  <c r="V105" i="1"/>
  <c r="R105" i="1"/>
  <c r="U104" i="1"/>
  <c r="Q104" i="1"/>
  <c r="R104" i="1" s="1"/>
  <c r="T101" i="1"/>
  <c r="U101" i="1" s="1"/>
  <c r="R101" i="1"/>
  <c r="T100" i="1"/>
  <c r="U100" i="1" s="1"/>
  <c r="R100" i="1"/>
  <c r="Q98" i="1"/>
  <c r="R98" i="1" s="1"/>
  <c r="V93" i="1"/>
  <c r="U92" i="1"/>
  <c r="R92" i="1"/>
  <c r="T91" i="1"/>
  <c r="Q91" i="1"/>
  <c r="V89" i="1"/>
  <c r="R89" i="1"/>
  <c r="V88" i="1"/>
  <c r="R88" i="1"/>
  <c r="V87" i="1"/>
  <c r="R87" i="1"/>
  <c r="U86" i="1"/>
  <c r="R86" i="1"/>
  <c r="V85" i="1"/>
  <c r="V84" i="1"/>
  <c r="V83" i="1"/>
  <c r="R83" i="1"/>
  <c r="V82" i="1"/>
  <c r="R82" i="1"/>
  <c r="V81" i="1"/>
  <c r="R81" i="1"/>
  <c r="V80" i="1"/>
  <c r="R80" i="1"/>
  <c r="U79" i="1"/>
  <c r="R79" i="1"/>
  <c r="T77" i="1"/>
  <c r="U77" i="1" s="1"/>
  <c r="U76" i="1"/>
  <c r="R76" i="1"/>
  <c r="V75" i="1"/>
  <c r="R75" i="1"/>
  <c r="V73" i="1"/>
  <c r="V72" i="1"/>
  <c r="R72" i="1"/>
  <c r="V71" i="1"/>
  <c r="R71" i="1"/>
  <c r="V69" i="1"/>
  <c r="R69" i="1"/>
  <c r="V61" i="1"/>
  <c r="V60" i="1"/>
  <c r="R60" i="1"/>
  <c r="R52" i="14"/>
  <c r="S52" i="14"/>
  <c r="T52" i="14"/>
  <c r="U52" i="14"/>
  <c r="W52" i="14"/>
  <c r="X52" i="14"/>
  <c r="Y52" i="14"/>
  <c r="Z52" i="14"/>
  <c r="AA52" i="14"/>
  <c r="AB52" i="14"/>
  <c r="AC52" i="14"/>
  <c r="AD52" i="14"/>
  <c r="AE52" i="14"/>
  <c r="AF52" i="14"/>
  <c r="Q52" i="14"/>
  <c r="R152" i="14"/>
  <c r="S152" i="14"/>
  <c r="T152" i="14"/>
  <c r="U152" i="14"/>
  <c r="V152" i="14"/>
  <c r="W152" i="14"/>
  <c r="X152" i="14"/>
  <c r="Y152" i="14"/>
  <c r="Z152" i="14"/>
  <c r="AA152" i="14"/>
  <c r="AB152" i="14"/>
  <c r="AC152" i="14"/>
  <c r="AD152" i="14"/>
  <c r="AE152" i="14"/>
  <c r="AF152" i="14"/>
  <c r="Q152" i="14"/>
  <c r="AH67" i="14"/>
  <c r="J61" i="9"/>
  <c r="K61" i="9"/>
  <c r="L61" i="9"/>
  <c r="M61" i="9"/>
  <c r="N61" i="9"/>
  <c r="P61" i="9"/>
  <c r="R61" i="9"/>
  <c r="S61" i="9"/>
  <c r="T61" i="9"/>
  <c r="U61" i="9"/>
  <c r="V61" i="9"/>
  <c r="W61" i="9"/>
  <c r="X61" i="9"/>
  <c r="Y61" i="9"/>
  <c r="Z61" i="9"/>
  <c r="AA61" i="9"/>
  <c r="AB61" i="9"/>
  <c r="AC61" i="9"/>
  <c r="AE61" i="9"/>
  <c r="AF61" i="9"/>
  <c r="I61" i="9"/>
  <c r="I54" i="8"/>
  <c r="R54" i="8"/>
  <c r="S54" i="8"/>
  <c r="T54" i="8"/>
  <c r="U54" i="8"/>
  <c r="V54" i="8"/>
  <c r="W54" i="8"/>
  <c r="X54" i="8"/>
  <c r="Y54" i="8"/>
  <c r="Z54" i="8"/>
  <c r="AA54" i="8"/>
  <c r="AB54" i="8"/>
  <c r="AC54" i="8"/>
  <c r="AE54" i="8"/>
  <c r="AF54" i="8"/>
  <c r="P54" i="8"/>
  <c r="AH35" i="14"/>
  <c r="AH34" i="14"/>
  <c r="Q14" i="14"/>
  <c r="Q10" i="14"/>
  <c r="Q31" i="14"/>
  <c r="Q38" i="14" s="1"/>
  <c r="Q55" i="14"/>
  <c r="Q54" i="14"/>
  <c r="V50" i="14"/>
  <c r="V52" i="14" s="1"/>
  <c r="Q4" i="14"/>
  <c r="Q21" i="14" l="1"/>
  <c r="AH152" i="14"/>
  <c r="AH70" i="14"/>
  <c r="AH136" i="14"/>
  <c r="AH71" i="14"/>
  <c r="AH72" i="14"/>
  <c r="AH29" i="14"/>
  <c r="AH30" i="14"/>
  <c r="S42" i="14"/>
  <c r="R42" i="14"/>
  <c r="Q65" i="14"/>
  <c r="AF65" i="14"/>
  <c r="AE65" i="14"/>
  <c r="AD65" i="14"/>
  <c r="U65" i="14"/>
  <c r="V65" i="14"/>
  <c r="W65" i="14"/>
  <c r="X65" i="14"/>
  <c r="Y65" i="14"/>
  <c r="Z65" i="14"/>
  <c r="AA65" i="14"/>
  <c r="AB65" i="14"/>
  <c r="AC65" i="14"/>
  <c r="T65" i="14"/>
  <c r="S65" i="14"/>
  <c r="R65" i="14"/>
  <c r="AF62" i="14"/>
  <c r="AE62" i="14"/>
  <c r="T62" i="14"/>
  <c r="U62" i="14"/>
  <c r="V62" i="14"/>
  <c r="X62" i="14"/>
  <c r="Y62" i="14"/>
  <c r="Z62" i="14"/>
  <c r="AA62" i="14"/>
  <c r="AB62" i="14"/>
  <c r="AC62" i="14"/>
  <c r="AD62" i="14"/>
  <c r="S62" i="14"/>
  <c r="R62" i="14"/>
  <c r="Q62" i="14"/>
  <c r="R56" i="14"/>
  <c r="Q56" i="14"/>
  <c r="AF47" i="14"/>
  <c r="AE47" i="14"/>
  <c r="T47" i="14"/>
  <c r="U47" i="14"/>
  <c r="X47" i="14"/>
  <c r="Y47" i="14"/>
  <c r="Z47" i="14"/>
  <c r="AA47" i="14"/>
  <c r="AB47" i="14"/>
  <c r="AC47" i="14"/>
  <c r="AD47" i="14"/>
  <c r="S47" i="14"/>
  <c r="R47" i="14"/>
  <c r="Q47" i="14"/>
  <c r="AF26" i="14"/>
  <c r="AE26" i="14"/>
  <c r="T26" i="14"/>
  <c r="U26" i="14"/>
  <c r="V26" i="14"/>
  <c r="W26" i="14"/>
  <c r="X26" i="14"/>
  <c r="Y26" i="14"/>
  <c r="Z26" i="14"/>
  <c r="AA26" i="14"/>
  <c r="AB26" i="14"/>
  <c r="AC26" i="14"/>
  <c r="AD26" i="14"/>
  <c r="S26" i="14"/>
  <c r="R26" i="14"/>
  <c r="U172" i="14"/>
  <c r="T172" i="14"/>
  <c r="S172" i="14"/>
  <c r="U168" i="14"/>
  <c r="T168" i="14"/>
  <c r="S168" i="14"/>
  <c r="AE163" i="14"/>
  <c r="AD163" i="14"/>
  <c r="AD176" i="14" s="1"/>
  <c r="AC163" i="14"/>
  <c r="AC176" i="14" s="1"/>
  <c r="AB163" i="14"/>
  <c r="AB176" i="14" s="1"/>
  <c r="AA163" i="14"/>
  <c r="AA176" i="14" s="1"/>
  <c r="Z163" i="14"/>
  <c r="Z176" i="14" s="1"/>
  <c r="Y163" i="14"/>
  <c r="Y176" i="14" s="1"/>
  <c r="X163" i="14"/>
  <c r="X176" i="14" s="1"/>
  <c r="W163" i="14"/>
  <c r="W176" i="14" s="1"/>
  <c r="V163" i="14"/>
  <c r="V176" i="14" s="1"/>
  <c r="U163" i="14"/>
  <c r="U176" i="14" s="1"/>
  <c r="U177" i="14" s="1"/>
  <c r="T163" i="14"/>
  <c r="T164" i="14" s="1"/>
  <c r="S163" i="14"/>
  <c r="S164" i="14" s="1"/>
  <c r="AE159" i="14"/>
  <c r="AD159" i="14"/>
  <c r="AC159" i="14"/>
  <c r="AB159" i="14"/>
  <c r="AA159" i="14"/>
  <c r="Z159" i="14"/>
  <c r="Y159" i="14"/>
  <c r="X159" i="14"/>
  <c r="W159" i="14"/>
  <c r="V159" i="14"/>
  <c r="U159" i="14"/>
  <c r="U160" i="14" s="1"/>
  <c r="T159" i="14"/>
  <c r="T160" i="14" s="1"/>
  <c r="S159" i="14"/>
  <c r="S160" i="14" s="1"/>
  <c r="AH151" i="14"/>
  <c r="AH150" i="14"/>
  <c r="AH149" i="14"/>
  <c r="AH51" i="14"/>
  <c r="AH145" i="14"/>
  <c r="AH90" i="14"/>
  <c r="N90" i="14"/>
  <c r="AH89" i="14"/>
  <c r="AH144" i="14"/>
  <c r="AH88" i="14"/>
  <c r="AH16" i="14"/>
  <c r="N16" i="14"/>
  <c r="AH143" i="14"/>
  <c r="AH37" i="14"/>
  <c r="N37" i="14"/>
  <c r="AH142" i="14"/>
  <c r="AH141" i="14"/>
  <c r="AH36" i="14"/>
  <c r="AH140" i="14"/>
  <c r="AH49" i="14"/>
  <c r="N49" i="14"/>
  <c r="AH139" i="14"/>
  <c r="AH137" i="14"/>
  <c r="AH135" i="14"/>
  <c r="AH134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AH41" i="14"/>
  <c r="AH40" i="14"/>
  <c r="Q40" i="14"/>
  <c r="Q42" i="14" s="1"/>
  <c r="AH80" i="14"/>
  <c r="AH79" i="14"/>
  <c r="AH146" i="14"/>
  <c r="AH78" i="14"/>
  <c r="AH77" i="14"/>
  <c r="AH76" i="14"/>
  <c r="AH69" i="14"/>
  <c r="AH28" i="14"/>
  <c r="AH64" i="14"/>
  <c r="N64" i="14"/>
  <c r="N59" i="14"/>
  <c r="AH58" i="14"/>
  <c r="N58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AH55" i="14"/>
  <c r="AH54" i="14"/>
  <c r="N54" i="14"/>
  <c r="AH50" i="14"/>
  <c r="N50" i="14"/>
  <c r="AH87" i="14"/>
  <c r="N35" i="14"/>
  <c r="N34" i="14"/>
  <c r="W33" i="14"/>
  <c r="W38" i="14" s="1"/>
  <c r="N33" i="14"/>
  <c r="Y32" i="14"/>
  <c r="AH32" i="14" s="1"/>
  <c r="N32" i="14"/>
  <c r="Y31" i="14"/>
  <c r="V31" i="14"/>
  <c r="V38" i="14" s="1"/>
  <c r="N31" i="14"/>
  <c r="AH46" i="14"/>
  <c r="X75" i="14"/>
  <c r="AH75" i="14" s="1"/>
  <c r="X74" i="14"/>
  <c r="AH74" i="14" s="1"/>
  <c r="X73" i="14"/>
  <c r="W61" i="14"/>
  <c r="AH61" i="14" s="1"/>
  <c r="N61" i="14"/>
  <c r="W45" i="14"/>
  <c r="AH45" i="14" s="1"/>
  <c r="N45" i="14"/>
  <c r="N60" i="14"/>
  <c r="W44" i="14"/>
  <c r="V44" i="14"/>
  <c r="V47" i="14" s="1"/>
  <c r="N44" i="14"/>
  <c r="AH25" i="14"/>
  <c r="N25" i="14"/>
  <c r="AH24" i="14"/>
  <c r="N24" i="14"/>
  <c r="AH23" i="14"/>
  <c r="N23" i="14"/>
  <c r="AH4" i="14"/>
  <c r="N4" i="14"/>
  <c r="AH17" i="14"/>
  <c r="N17" i="14"/>
  <c r="AH15" i="14"/>
  <c r="W14" i="14"/>
  <c r="AH14" i="14" s="1"/>
  <c r="N14" i="14"/>
  <c r="X13" i="14"/>
  <c r="X21" i="14" s="1"/>
  <c r="W12" i="14"/>
  <c r="AH12" i="14" s="1"/>
  <c r="N12" i="14"/>
  <c r="Y11" i="14"/>
  <c r="Y21" i="14" s="1"/>
  <c r="W11" i="14"/>
  <c r="N11" i="14"/>
  <c r="W10" i="14"/>
  <c r="N10" i="14"/>
  <c r="AH9" i="14"/>
  <c r="N9" i="14"/>
  <c r="AH8" i="14"/>
  <c r="AH7" i="14"/>
  <c r="AH6" i="14"/>
  <c r="AH5" i="14"/>
  <c r="AB154" i="14" l="1"/>
  <c r="AF154" i="14"/>
  <c r="T154" i="14"/>
  <c r="Z21" i="14"/>
  <c r="Z154" i="14" s="1"/>
  <c r="AH10" i="14"/>
  <c r="W21" i="14"/>
  <c r="AC154" i="14"/>
  <c r="AA154" i="14"/>
  <c r="AE154" i="14"/>
  <c r="S154" i="14"/>
  <c r="R154" i="14"/>
  <c r="V154" i="14"/>
  <c r="AD154" i="14"/>
  <c r="U154" i="14"/>
  <c r="Y38" i="14"/>
  <c r="Y154" i="14" s="1"/>
  <c r="Q154" i="14"/>
  <c r="X82" i="14"/>
  <c r="AH82" i="14" s="1"/>
  <c r="AH73" i="14"/>
  <c r="W47" i="14"/>
  <c r="W62" i="14"/>
  <c r="AH65" i="14"/>
  <c r="AH31" i="14"/>
  <c r="N6" i="14"/>
  <c r="U164" i="14"/>
  <c r="N7" i="14"/>
  <c r="AH56" i="14"/>
  <c r="N5" i="14"/>
  <c r="AH52" i="14"/>
  <c r="AH13" i="14"/>
  <c r="AH42" i="14"/>
  <c r="AH11" i="14"/>
  <c r="T176" i="14"/>
  <c r="T177" i="14" s="1"/>
  <c r="S176" i="14"/>
  <c r="AH44" i="14"/>
  <c r="AH33" i="14"/>
  <c r="X154" i="14" l="1"/>
  <c r="W154" i="14"/>
  <c r="AH47" i="14"/>
  <c r="AH21" i="14"/>
  <c r="S177" i="14"/>
  <c r="AE176" i="14"/>
  <c r="J16" i="13"/>
  <c r="K16" i="13"/>
  <c r="L16" i="13"/>
  <c r="M16" i="13"/>
  <c r="N16" i="13"/>
  <c r="P16" i="13"/>
  <c r="R16" i="13"/>
  <c r="S16" i="13"/>
  <c r="T16" i="13"/>
  <c r="U16" i="13"/>
  <c r="Z16" i="13"/>
  <c r="AA16" i="13"/>
  <c r="AB16" i="13"/>
  <c r="AC16" i="13"/>
  <c r="AE16" i="13"/>
  <c r="AF16" i="13"/>
  <c r="I16" i="13"/>
  <c r="AH78" i="13"/>
  <c r="AJ78" i="13" s="1"/>
  <c r="AH79" i="13"/>
  <c r="AJ79" i="13" s="1"/>
  <c r="Y14" i="13"/>
  <c r="Y12" i="13"/>
  <c r="AE115" i="13"/>
  <c r="R38" i="13"/>
  <c r="S38" i="13"/>
  <c r="T38" i="13"/>
  <c r="W38" i="13"/>
  <c r="Y38" i="13"/>
  <c r="Z38" i="13"/>
  <c r="AA38" i="13"/>
  <c r="AB38" i="13"/>
  <c r="AC38" i="13"/>
  <c r="AE38" i="13"/>
  <c r="AF38" i="13"/>
  <c r="P38" i="13"/>
  <c r="I38" i="13"/>
  <c r="S60" i="13"/>
  <c r="T60" i="13"/>
  <c r="U60" i="13"/>
  <c r="V60" i="13"/>
  <c r="W60" i="13"/>
  <c r="X60" i="13"/>
  <c r="Y60" i="13"/>
  <c r="Z60" i="13"/>
  <c r="AA60" i="13"/>
  <c r="AB60" i="13"/>
  <c r="AC60" i="13"/>
  <c r="R60" i="13"/>
  <c r="P60" i="13"/>
  <c r="AF60" i="13"/>
  <c r="AE60" i="13"/>
  <c r="AH52" i="13"/>
  <c r="J60" i="13"/>
  <c r="K60" i="13"/>
  <c r="L60" i="13"/>
  <c r="M60" i="13"/>
  <c r="N60" i="13"/>
  <c r="I60" i="13"/>
  <c r="AH57" i="13"/>
  <c r="AJ57" i="13" s="1"/>
  <c r="X33" i="13"/>
  <c r="AH33" i="13" s="1"/>
  <c r="AJ33" i="13" s="1"/>
  <c r="X32" i="13"/>
  <c r="AH84" i="13"/>
  <c r="AJ84" i="13" s="1"/>
  <c r="X10" i="13"/>
  <c r="X16" i="13" s="1"/>
  <c r="T135" i="13"/>
  <c r="S135" i="13"/>
  <c r="R135" i="13"/>
  <c r="T131" i="13"/>
  <c r="S131" i="13"/>
  <c r="R131" i="13"/>
  <c r="AE126" i="13"/>
  <c r="AC126" i="13"/>
  <c r="AC139" i="13" s="1"/>
  <c r="AB126" i="13"/>
  <c r="AB139" i="13" s="1"/>
  <c r="AA126" i="13"/>
  <c r="AA139" i="13" s="1"/>
  <c r="Z126" i="13"/>
  <c r="Z139" i="13" s="1"/>
  <c r="Y126" i="13"/>
  <c r="Y139" i="13" s="1"/>
  <c r="X126" i="13"/>
  <c r="X139" i="13" s="1"/>
  <c r="W126" i="13"/>
  <c r="W139" i="13" s="1"/>
  <c r="V126" i="13"/>
  <c r="V139" i="13" s="1"/>
  <c r="U126" i="13"/>
  <c r="U139" i="13" s="1"/>
  <c r="T126" i="13"/>
  <c r="T139" i="13" s="1"/>
  <c r="T140" i="13" s="1"/>
  <c r="S126" i="13"/>
  <c r="S127" i="13" s="1"/>
  <c r="R126" i="13"/>
  <c r="R127" i="13" s="1"/>
  <c r="AE122" i="13"/>
  <c r="AC122" i="13"/>
  <c r="AB122" i="13"/>
  <c r="AA122" i="13"/>
  <c r="Z122" i="13"/>
  <c r="Y122" i="13"/>
  <c r="X122" i="13"/>
  <c r="W122" i="13"/>
  <c r="V122" i="13"/>
  <c r="U122" i="13"/>
  <c r="T122" i="13"/>
  <c r="T123" i="13" s="1"/>
  <c r="S122" i="13"/>
  <c r="S123" i="13" s="1"/>
  <c r="R122" i="13"/>
  <c r="R123" i="13" s="1"/>
  <c r="AJ116" i="13"/>
  <c r="AF115" i="13"/>
  <c r="AC115" i="13"/>
  <c r="AB115" i="13"/>
  <c r="AA115" i="13"/>
  <c r="Z115" i="13"/>
  <c r="Y115" i="13"/>
  <c r="X115" i="13"/>
  <c r="V115" i="13"/>
  <c r="U115" i="13"/>
  <c r="T115" i="13"/>
  <c r="S115" i="13"/>
  <c r="R115" i="13"/>
  <c r="P115" i="13"/>
  <c r="AH114" i="13"/>
  <c r="AJ114" i="13" s="1"/>
  <c r="AH113" i="13"/>
  <c r="AJ113" i="13" s="1"/>
  <c r="AH112" i="13"/>
  <c r="AJ112" i="13" s="1"/>
  <c r="AH111" i="13"/>
  <c r="AJ111" i="13" s="1"/>
  <c r="AH106" i="13"/>
  <c r="AH105" i="13"/>
  <c r="AJ105" i="13" s="1"/>
  <c r="AH104" i="13"/>
  <c r="AJ104" i="13" s="1"/>
  <c r="AH103" i="13"/>
  <c r="AJ103" i="13" s="1"/>
  <c r="AH102" i="13"/>
  <c r="AJ102" i="13" s="1"/>
  <c r="AH101" i="13"/>
  <c r="AJ101" i="13" s="1"/>
  <c r="AH100" i="13"/>
  <c r="AJ100" i="13" s="1"/>
  <c r="AH99" i="13"/>
  <c r="AJ99" i="13" s="1"/>
  <c r="AH98" i="13"/>
  <c r="AJ98" i="13" s="1"/>
  <c r="W97" i="13"/>
  <c r="AH97" i="13" s="1"/>
  <c r="AJ97" i="13" s="1"/>
  <c r="AH96" i="13"/>
  <c r="AH95" i="13"/>
  <c r="AH94" i="13"/>
  <c r="AH93" i="13"/>
  <c r="AH92" i="13"/>
  <c r="AJ92" i="13" s="1"/>
  <c r="AH91" i="13"/>
  <c r="AJ91" i="13" s="1"/>
  <c r="AH90" i="13"/>
  <c r="AJ90" i="13" s="1"/>
  <c r="AH89" i="13"/>
  <c r="AJ89" i="13" s="1"/>
  <c r="AH87" i="13"/>
  <c r="AJ87" i="13" s="1"/>
  <c r="H87" i="13"/>
  <c r="AH86" i="13"/>
  <c r="AJ86" i="13" s="1"/>
  <c r="H86" i="13"/>
  <c r="AH85" i="13"/>
  <c r="AJ85" i="13" s="1"/>
  <c r="H85" i="13"/>
  <c r="AH77" i="13"/>
  <c r="AJ77" i="13" s="1"/>
  <c r="AH76" i="13"/>
  <c r="AJ76" i="13" s="1"/>
  <c r="H76" i="13"/>
  <c r="AH74" i="13"/>
  <c r="AH67" i="13"/>
  <c r="AH66" i="13"/>
  <c r="AF30" i="13"/>
  <c r="AE30" i="13"/>
  <c r="AC30" i="13"/>
  <c r="AB30" i="13"/>
  <c r="AA30" i="13"/>
  <c r="Z30" i="13"/>
  <c r="Y30" i="13"/>
  <c r="T30" i="13"/>
  <c r="S30" i="13"/>
  <c r="R30" i="13"/>
  <c r="P30" i="13"/>
  <c r="I30" i="13"/>
  <c r="AH29" i="13"/>
  <c r="AJ29" i="13" s="1"/>
  <c r="AH110" i="13"/>
  <c r="AJ110" i="13" s="1"/>
  <c r="H110" i="13"/>
  <c r="AH109" i="13"/>
  <c r="AJ109" i="13" s="1"/>
  <c r="H109" i="13"/>
  <c r="AH108" i="13"/>
  <c r="AJ108" i="13" s="1"/>
  <c r="H108" i="13"/>
  <c r="W28" i="13"/>
  <c r="AH28" i="13" s="1"/>
  <c r="AJ28" i="13" s="1"/>
  <c r="H28" i="13"/>
  <c r="W27" i="13"/>
  <c r="AH27" i="13" s="1"/>
  <c r="AJ27" i="13" s="1"/>
  <c r="H27" i="13"/>
  <c r="W26" i="13"/>
  <c r="AH26" i="13" s="1"/>
  <c r="AJ26" i="13" s="1"/>
  <c r="H26" i="13"/>
  <c r="AH107" i="13"/>
  <c r="AJ107" i="13" s="1"/>
  <c r="H107" i="13"/>
  <c r="X30" i="13"/>
  <c r="V25" i="13"/>
  <c r="AH25" i="13" s="1"/>
  <c r="AJ25" i="13" s="1"/>
  <c r="H25" i="13"/>
  <c r="V24" i="13"/>
  <c r="H24" i="13"/>
  <c r="AH23" i="13"/>
  <c r="AJ23" i="13" s="1"/>
  <c r="H23" i="13"/>
  <c r="V22" i="13"/>
  <c r="U22" i="13"/>
  <c r="H22" i="13"/>
  <c r="AH21" i="13"/>
  <c r="AJ21" i="13" s="1"/>
  <c r="H21" i="13"/>
  <c r="AH20" i="13"/>
  <c r="AJ20" i="13" s="1"/>
  <c r="H20" i="13"/>
  <c r="AH19" i="13"/>
  <c r="AJ19" i="13" s="1"/>
  <c r="H19" i="13"/>
  <c r="AH18" i="13"/>
  <c r="AJ18" i="13" s="1"/>
  <c r="H18" i="13"/>
  <c r="AJ52" i="13"/>
  <c r="AH59" i="13"/>
  <c r="AJ59" i="13" s="1"/>
  <c r="AH58" i="13"/>
  <c r="AJ58" i="13" s="1"/>
  <c r="AH56" i="13"/>
  <c r="AJ56" i="13" s="1"/>
  <c r="AH55" i="13"/>
  <c r="AJ55" i="13" s="1"/>
  <c r="AH54" i="13"/>
  <c r="AJ54" i="13" s="1"/>
  <c r="H54" i="13"/>
  <c r="AH53" i="13"/>
  <c r="AJ53" i="13" s="1"/>
  <c r="AF45" i="13"/>
  <c r="AE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P45" i="13"/>
  <c r="I45" i="13"/>
  <c r="AH44" i="13"/>
  <c r="AJ44" i="13" s="1"/>
  <c r="AH43" i="13"/>
  <c r="AJ43" i="13" s="1"/>
  <c r="H43" i="13"/>
  <c r="AF41" i="13"/>
  <c r="AE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P41" i="13"/>
  <c r="I41" i="13"/>
  <c r="AH40" i="13"/>
  <c r="AJ40" i="13" s="1"/>
  <c r="H40" i="13"/>
  <c r="AJ39" i="13"/>
  <c r="AH82" i="13"/>
  <c r="AH81" i="13"/>
  <c r="H81" i="13"/>
  <c r="AH80" i="13"/>
  <c r="AJ80" i="13" s="1"/>
  <c r="AH37" i="13"/>
  <c r="AJ37" i="13" s="1"/>
  <c r="AH36" i="13"/>
  <c r="AJ36" i="13" s="1"/>
  <c r="H36" i="13"/>
  <c r="AH35" i="13"/>
  <c r="AJ35" i="13" s="1"/>
  <c r="H35" i="13"/>
  <c r="V34" i="13"/>
  <c r="AH34" i="13" s="1"/>
  <c r="AJ34" i="13" s="1"/>
  <c r="H34" i="13"/>
  <c r="H33" i="13"/>
  <c r="U32" i="13"/>
  <c r="U38" i="13" s="1"/>
  <c r="H32" i="13"/>
  <c r="AF64" i="13"/>
  <c r="AE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P64" i="13"/>
  <c r="AH63" i="13"/>
  <c r="AJ63" i="13" s="1"/>
  <c r="AH62" i="13"/>
  <c r="I62" i="13"/>
  <c r="I64" i="13" s="1"/>
  <c r="AJ61" i="13"/>
  <c r="AF50" i="13"/>
  <c r="AE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P50" i="13"/>
  <c r="I50" i="13"/>
  <c r="AH49" i="13"/>
  <c r="AJ49" i="13" s="1"/>
  <c r="M49" i="13"/>
  <c r="K49" i="13"/>
  <c r="H49" i="13"/>
  <c r="AH48" i="13"/>
  <c r="AJ48" i="13" s="1"/>
  <c r="M48" i="13"/>
  <c r="K48" i="13"/>
  <c r="H48" i="13"/>
  <c r="AH47" i="13"/>
  <c r="AJ47" i="13" s="1"/>
  <c r="M47" i="13"/>
  <c r="K47" i="13"/>
  <c r="H47" i="13"/>
  <c r="AJ46" i="13"/>
  <c r="AH88" i="13"/>
  <c r="H88" i="13"/>
  <c r="AH15" i="13"/>
  <c r="AJ15" i="13" s="1"/>
  <c r="H15" i="13"/>
  <c r="AH83" i="13"/>
  <c r="AJ83" i="13" s="1"/>
  <c r="H83" i="13"/>
  <c r="AH14" i="13"/>
  <c r="AJ14" i="13" s="1"/>
  <c r="H14" i="13"/>
  <c r="V13" i="13"/>
  <c r="AH13" i="13" s="1"/>
  <c r="AJ13" i="13" s="1"/>
  <c r="H13" i="13"/>
  <c r="W12" i="13"/>
  <c r="W16" i="13" s="1"/>
  <c r="H12" i="13"/>
  <c r="V11" i="13"/>
  <c r="AH11" i="13" s="1"/>
  <c r="AJ11" i="13" s="1"/>
  <c r="H11" i="13"/>
  <c r="AH75" i="13"/>
  <c r="AJ75" i="13" s="1"/>
  <c r="V10" i="13"/>
  <c r="H10" i="13"/>
  <c r="V9" i="13"/>
  <c r="H9" i="13"/>
  <c r="AH8" i="13"/>
  <c r="AJ8" i="13" s="1"/>
  <c r="H8" i="13"/>
  <c r="AH7" i="13"/>
  <c r="AJ7" i="13" s="1"/>
  <c r="F7" i="13"/>
  <c r="H7" i="13" s="1"/>
  <c r="AH6" i="13"/>
  <c r="AJ6" i="13" s="1"/>
  <c r="G6" i="13"/>
  <c r="F6" i="13"/>
  <c r="AH5" i="13"/>
  <c r="AJ5" i="13" s="1"/>
  <c r="G5" i="13"/>
  <c r="F5" i="13"/>
  <c r="AH4" i="13"/>
  <c r="AJ4" i="13" s="1"/>
  <c r="G4" i="13"/>
  <c r="F4" i="13"/>
  <c r="I81" i="12"/>
  <c r="I80" i="12"/>
  <c r="AH54" i="12"/>
  <c r="AH55" i="12"/>
  <c r="AH56" i="12"/>
  <c r="AH52" i="12"/>
  <c r="AJ52" i="12" s="1"/>
  <c r="AH53" i="12"/>
  <c r="AJ44" i="12"/>
  <c r="I78" i="12"/>
  <c r="I60" i="12"/>
  <c r="I45" i="12"/>
  <c r="I40" i="12"/>
  <c r="I36" i="12"/>
  <c r="I50" i="12"/>
  <c r="I19" i="12"/>
  <c r="AE19" i="12"/>
  <c r="AF40" i="12"/>
  <c r="AE40" i="12"/>
  <c r="AF45" i="12"/>
  <c r="AE45" i="12"/>
  <c r="AF60" i="12"/>
  <c r="AE60" i="12"/>
  <c r="J112" i="12"/>
  <c r="K112" i="12"/>
  <c r="L112" i="12"/>
  <c r="M112" i="12"/>
  <c r="N112" i="12"/>
  <c r="S110" i="12"/>
  <c r="T110" i="12"/>
  <c r="U110" i="12"/>
  <c r="V110" i="12"/>
  <c r="X110" i="12"/>
  <c r="Y110" i="12"/>
  <c r="Z110" i="12"/>
  <c r="AA110" i="12"/>
  <c r="AB110" i="12"/>
  <c r="AC110" i="12"/>
  <c r="S78" i="12"/>
  <c r="T78" i="12"/>
  <c r="Y78" i="12"/>
  <c r="Z78" i="12"/>
  <c r="AA78" i="12"/>
  <c r="AB78" i="12"/>
  <c r="AC78" i="12"/>
  <c r="S60" i="12"/>
  <c r="T60" i="12"/>
  <c r="U60" i="12"/>
  <c r="V60" i="12"/>
  <c r="W60" i="12"/>
  <c r="X60" i="12"/>
  <c r="Y60" i="12"/>
  <c r="Z60" i="12"/>
  <c r="AA60" i="12"/>
  <c r="AB60" i="12"/>
  <c r="AC60" i="12"/>
  <c r="S45" i="12"/>
  <c r="T45" i="12"/>
  <c r="U45" i="12"/>
  <c r="V45" i="12"/>
  <c r="W45" i="12"/>
  <c r="X45" i="12"/>
  <c r="Y45" i="12"/>
  <c r="Z45" i="12"/>
  <c r="AA45" i="12"/>
  <c r="AB45" i="12"/>
  <c r="AC45" i="12"/>
  <c r="S40" i="12"/>
  <c r="T40" i="12"/>
  <c r="U40" i="12"/>
  <c r="V40" i="12"/>
  <c r="W40" i="12"/>
  <c r="X40" i="12"/>
  <c r="Y40" i="12"/>
  <c r="Z40" i="12"/>
  <c r="AA40" i="12"/>
  <c r="AB40" i="12"/>
  <c r="AC40" i="12"/>
  <c r="S36" i="12"/>
  <c r="T36" i="12"/>
  <c r="W36" i="12"/>
  <c r="X36" i="12"/>
  <c r="Y36" i="12"/>
  <c r="Z36" i="12"/>
  <c r="AA36" i="12"/>
  <c r="AB36" i="12"/>
  <c r="AC36" i="12"/>
  <c r="S50" i="12"/>
  <c r="T50" i="12"/>
  <c r="U50" i="12"/>
  <c r="V50" i="12"/>
  <c r="W50" i="12"/>
  <c r="X50" i="12"/>
  <c r="Y50" i="12"/>
  <c r="Z50" i="12"/>
  <c r="AA50" i="12"/>
  <c r="AB50" i="12"/>
  <c r="AC50" i="12"/>
  <c r="S19" i="12"/>
  <c r="T19" i="12"/>
  <c r="U19" i="12"/>
  <c r="X19" i="12"/>
  <c r="Y19" i="12"/>
  <c r="Z19" i="12"/>
  <c r="AA19" i="12"/>
  <c r="AB19" i="12"/>
  <c r="AC19" i="12"/>
  <c r="AF23" i="12"/>
  <c r="AE23" i="12"/>
  <c r="AH30" i="12"/>
  <c r="AJ30" i="12" s="1"/>
  <c r="AJ37" i="12"/>
  <c r="AJ20" i="12"/>
  <c r="AH21" i="12"/>
  <c r="AH22" i="12"/>
  <c r="AJ22" i="12" s="1"/>
  <c r="AH49" i="12"/>
  <c r="AH11" i="12"/>
  <c r="AJ11" i="12" s="1"/>
  <c r="AH132" i="14" l="1"/>
  <c r="Y16" i="13"/>
  <c r="V16" i="13"/>
  <c r="X38" i="13"/>
  <c r="V38" i="13"/>
  <c r="AH32" i="13"/>
  <c r="AJ32" i="13" s="1"/>
  <c r="AJ67" i="13"/>
  <c r="H4" i="13"/>
  <c r="N47" i="13"/>
  <c r="N49" i="13"/>
  <c r="AJ66" i="13"/>
  <c r="N48" i="13"/>
  <c r="H6" i="13"/>
  <c r="AH9" i="13"/>
  <c r="AJ9" i="13" s="1"/>
  <c r="AJ62" i="13"/>
  <c r="AH45" i="13"/>
  <c r="AJ45" i="13" s="1"/>
  <c r="S139" i="13"/>
  <c r="S140" i="13" s="1"/>
  <c r="W30" i="13"/>
  <c r="T127" i="13"/>
  <c r="AH64" i="13"/>
  <c r="AJ64" i="13" s="1"/>
  <c r="V30" i="13"/>
  <c r="AH41" i="13"/>
  <c r="AJ41" i="13" s="1"/>
  <c r="H5" i="13"/>
  <c r="AH22" i="13"/>
  <c r="AJ22" i="13" s="1"/>
  <c r="AH50" i="13"/>
  <c r="AJ50" i="13" s="1"/>
  <c r="AH10" i="13"/>
  <c r="AJ10" i="13" s="1"/>
  <c r="U30" i="13"/>
  <c r="R139" i="13"/>
  <c r="AH12" i="13"/>
  <c r="AJ12" i="13" s="1"/>
  <c r="AH24" i="13"/>
  <c r="AJ24" i="13" s="1"/>
  <c r="W115" i="13"/>
  <c r="AH115" i="13" s="1"/>
  <c r="I115" i="13"/>
  <c r="I110" i="12"/>
  <c r="AH60" i="13" l="1"/>
  <c r="AJ60" i="13" s="1"/>
  <c r="AH30" i="13"/>
  <c r="AJ30" i="13" s="1"/>
  <c r="AJ115" i="13"/>
  <c r="R140" i="13"/>
  <c r="AE139" i="13"/>
  <c r="U5" i="1" l="1"/>
  <c r="S23" i="12"/>
  <c r="S112" i="12" s="1"/>
  <c r="T23" i="12"/>
  <c r="T112" i="12" s="1"/>
  <c r="U23" i="12"/>
  <c r="V23" i="12"/>
  <c r="W23" i="12"/>
  <c r="X23" i="12"/>
  <c r="Y23" i="12"/>
  <c r="Y112" i="12" s="1"/>
  <c r="Z23" i="12"/>
  <c r="Z112" i="12" s="1"/>
  <c r="AA23" i="12"/>
  <c r="AA112" i="12" s="1"/>
  <c r="AB23" i="12"/>
  <c r="AB112" i="12" s="1"/>
  <c r="AC23" i="12"/>
  <c r="AC112" i="12" s="1"/>
  <c r="R110" i="12"/>
  <c r="R60" i="12"/>
  <c r="R45" i="12"/>
  <c r="R40" i="12"/>
  <c r="R36" i="12"/>
  <c r="R23" i="12"/>
  <c r="R50" i="12"/>
  <c r="P110" i="12"/>
  <c r="P78" i="12"/>
  <c r="P60" i="12"/>
  <c r="P45" i="12"/>
  <c r="P40" i="12"/>
  <c r="P36" i="12"/>
  <c r="P23" i="12"/>
  <c r="AH23" i="12" s="1"/>
  <c r="P50" i="12"/>
  <c r="P19" i="12"/>
  <c r="P112" i="12" s="1"/>
  <c r="AF19" i="12"/>
  <c r="R19" i="12"/>
  <c r="I21" i="12"/>
  <c r="AH43" i="12"/>
  <c r="AJ43" i="12" s="1"/>
  <c r="AH42" i="12"/>
  <c r="AJ42" i="12" s="1"/>
  <c r="H42" i="12"/>
  <c r="V14" i="12"/>
  <c r="AH39" i="12"/>
  <c r="AJ39" i="12" s="1"/>
  <c r="AH57" i="12"/>
  <c r="AJ57" i="12" s="1"/>
  <c r="AJ55" i="12"/>
  <c r="AJ54" i="12"/>
  <c r="AJ21" i="12" l="1"/>
  <c r="I23" i="12"/>
  <c r="I112" i="12" s="1"/>
  <c r="AH45" i="12"/>
  <c r="AJ45" i="12" s="1"/>
  <c r="AH40" i="12"/>
  <c r="AJ40" i="12" s="1"/>
  <c r="W13" i="12" l="1"/>
  <c r="W19" i="12" s="1"/>
  <c r="W96" i="12"/>
  <c r="W110" i="12" s="1"/>
  <c r="W71" i="12"/>
  <c r="W72" i="12"/>
  <c r="AH72" i="12" s="1"/>
  <c r="AJ72" i="12" s="1"/>
  <c r="W73" i="12"/>
  <c r="AH73" i="12" s="1"/>
  <c r="AJ73" i="12" s="1"/>
  <c r="T130" i="12"/>
  <c r="S130" i="12"/>
  <c r="R130" i="12"/>
  <c r="T126" i="12"/>
  <c r="S126" i="12"/>
  <c r="R126" i="12"/>
  <c r="AE121" i="12"/>
  <c r="AC121" i="12"/>
  <c r="AC134" i="12" s="1"/>
  <c r="AB121" i="12"/>
  <c r="AB134" i="12" s="1"/>
  <c r="AA121" i="12"/>
  <c r="AA134" i="12" s="1"/>
  <c r="Z121" i="12"/>
  <c r="Z134" i="12" s="1"/>
  <c r="Y121" i="12"/>
  <c r="Y134" i="12" s="1"/>
  <c r="X121" i="12"/>
  <c r="X134" i="12" s="1"/>
  <c r="W121" i="12"/>
  <c r="W134" i="12" s="1"/>
  <c r="V121" i="12"/>
  <c r="V134" i="12" s="1"/>
  <c r="U121" i="12"/>
  <c r="U134" i="12" s="1"/>
  <c r="T121" i="12"/>
  <c r="T122" i="12" s="1"/>
  <c r="S121" i="12"/>
  <c r="S134" i="12" s="1"/>
  <c r="S135" i="12" s="1"/>
  <c r="R121" i="12"/>
  <c r="R122" i="12" s="1"/>
  <c r="AE117" i="12"/>
  <c r="AC117" i="12"/>
  <c r="AB117" i="12"/>
  <c r="AA117" i="12"/>
  <c r="Z117" i="12"/>
  <c r="Y117" i="12"/>
  <c r="X117" i="12"/>
  <c r="W117" i="12"/>
  <c r="V117" i="12"/>
  <c r="U117" i="12"/>
  <c r="T117" i="12"/>
  <c r="T118" i="12" s="1"/>
  <c r="S117" i="12"/>
  <c r="S118" i="12" s="1"/>
  <c r="R117" i="12"/>
  <c r="R118" i="12" s="1"/>
  <c r="AJ111" i="12"/>
  <c r="AF110" i="12"/>
  <c r="AE110" i="12"/>
  <c r="AH109" i="12"/>
  <c r="AJ109" i="12" s="1"/>
  <c r="AH108" i="12"/>
  <c r="AJ108" i="12" s="1"/>
  <c r="AH107" i="12"/>
  <c r="AJ107" i="12" s="1"/>
  <c r="AH106" i="12"/>
  <c r="AJ106" i="12" s="1"/>
  <c r="AH105" i="12"/>
  <c r="AJ105" i="12" s="1"/>
  <c r="AH104" i="12"/>
  <c r="AJ104" i="12" s="1"/>
  <c r="AH103" i="12"/>
  <c r="AJ103" i="12" s="1"/>
  <c r="AH102" i="12"/>
  <c r="AJ102" i="12" s="1"/>
  <c r="AH101" i="12"/>
  <c r="AJ101" i="12" s="1"/>
  <c r="AH100" i="12"/>
  <c r="AJ100" i="12" s="1"/>
  <c r="AH99" i="12"/>
  <c r="AJ99" i="12" s="1"/>
  <c r="AH98" i="12"/>
  <c r="AJ98" i="12" s="1"/>
  <c r="AH97" i="12"/>
  <c r="AJ97" i="12" s="1"/>
  <c r="AH95" i="12"/>
  <c r="AH94" i="12"/>
  <c r="AH93" i="12"/>
  <c r="AH92" i="12"/>
  <c r="AH91" i="12"/>
  <c r="AJ91" i="12" s="1"/>
  <c r="AH90" i="12"/>
  <c r="AJ90" i="12" s="1"/>
  <c r="AH89" i="12"/>
  <c r="AJ89" i="12" s="1"/>
  <c r="AH88" i="12"/>
  <c r="AJ88" i="12" s="1"/>
  <c r="AH87" i="12"/>
  <c r="AJ87" i="12" s="1"/>
  <c r="H87" i="12"/>
  <c r="AH86" i="12"/>
  <c r="AJ86" i="12" s="1"/>
  <c r="H86" i="12"/>
  <c r="AH85" i="12"/>
  <c r="AJ85" i="12" s="1"/>
  <c r="H85" i="12"/>
  <c r="AH38" i="12"/>
  <c r="AJ38" i="12" s="1"/>
  <c r="H38" i="12"/>
  <c r="AH33" i="12"/>
  <c r="AJ33" i="12" s="1"/>
  <c r="AH32" i="12"/>
  <c r="AJ32" i="12" s="1"/>
  <c r="AH83" i="12"/>
  <c r="AJ83" i="12" s="1"/>
  <c r="H83" i="12"/>
  <c r="AH84" i="12"/>
  <c r="AJ84" i="12" s="1"/>
  <c r="H13" i="12"/>
  <c r="AH82" i="12"/>
  <c r="AH81" i="12"/>
  <c r="AJ81" i="12" s="1"/>
  <c r="AH80" i="12"/>
  <c r="AJ80" i="12" s="1"/>
  <c r="AF78" i="12"/>
  <c r="AE78" i="12"/>
  <c r="R78" i="12"/>
  <c r="R112" i="12" s="1"/>
  <c r="AH77" i="12"/>
  <c r="AJ77" i="12" s="1"/>
  <c r="AH75" i="12"/>
  <c r="AJ75" i="12" s="1"/>
  <c r="H75" i="12"/>
  <c r="AH74" i="12"/>
  <c r="AJ74" i="12" s="1"/>
  <c r="H74" i="12"/>
  <c r="H73" i="12"/>
  <c r="H72" i="12"/>
  <c r="H71" i="12"/>
  <c r="AH76" i="12"/>
  <c r="AJ76" i="12" s="1"/>
  <c r="H76" i="12"/>
  <c r="AH70" i="12"/>
  <c r="AJ70" i="12" s="1"/>
  <c r="H70" i="12"/>
  <c r="X69" i="12"/>
  <c r="X78" i="12" s="1"/>
  <c r="X112" i="12" s="1"/>
  <c r="V69" i="12"/>
  <c r="H69" i="12"/>
  <c r="V68" i="12"/>
  <c r="H68" i="12"/>
  <c r="H67" i="12"/>
  <c r="V66" i="12"/>
  <c r="U66" i="12"/>
  <c r="U78" i="12" s="1"/>
  <c r="H66" i="12"/>
  <c r="AH65" i="12"/>
  <c r="AJ65" i="12" s="1"/>
  <c r="H65" i="12"/>
  <c r="AH64" i="12"/>
  <c r="AJ64" i="12" s="1"/>
  <c r="H64" i="12"/>
  <c r="AH63" i="12"/>
  <c r="AJ63" i="12" s="1"/>
  <c r="H63" i="12"/>
  <c r="AH62" i="12"/>
  <c r="AJ62" i="12" s="1"/>
  <c r="H62" i="12"/>
  <c r="AJ53" i="12"/>
  <c r="H53" i="12"/>
  <c r="AH59" i="12"/>
  <c r="AJ59" i="12" s="1"/>
  <c r="AJ58" i="12"/>
  <c r="AJ56" i="12"/>
  <c r="AF36" i="12"/>
  <c r="AE36" i="12"/>
  <c r="AH35" i="12"/>
  <c r="AJ35" i="12" s="1"/>
  <c r="AH34" i="12"/>
  <c r="AJ34" i="12" s="1"/>
  <c r="H34" i="12"/>
  <c r="AH31" i="12"/>
  <c r="AJ31" i="12" s="1"/>
  <c r="AH29" i="12"/>
  <c r="AJ29" i="12" s="1"/>
  <c r="H29" i="12"/>
  <c r="AH28" i="12"/>
  <c r="AJ28" i="12" s="1"/>
  <c r="H28" i="12"/>
  <c r="V27" i="12"/>
  <c r="V36" i="12" s="1"/>
  <c r="H27" i="12"/>
  <c r="AH26" i="12"/>
  <c r="AJ26" i="12" s="1"/>
  <c r="H26" i="12"/>
  <c r="U25" i="12"/>
  <c r="U36" i="12" s="1"/>
  <c r="H25" i="12"/>
  <c r="AH18" i="12"/>
  <c r="H18" i="12"/>
  <c r="H16" i="12"/>
  <c r="AH15" i="12"/>
  <c r="AJ15" i="12" s="1"/>
  <c r="H15" i="12"/>
  <c r="F7" i="12"/>
  <c r="H7" i="12" s="1"/>
  <c r="AF50" i="12"/>
  <c r="AF112" i="12" s="1"/>
  <c r="AE50" i="12"/>
  <c r="M49" i="12"/>
  <c r="K49" i="12"/>
  <c r="H49" i="12"/>
  <c r="AH48" i="12"/>
  <c r="AJ48" i="12" s="1"/>
  <c r="M48" i="12"/>
  <c r="K48" i="12"/>
  <c r="H48" i="12"/>
  <c r="AH47" i="12"/>
  <c r="AJ47" i="12" s="1"/>
  <c r="M47" i="12"/>
  <c r="K47" i="12"/>
  <c r="H47" i="12"/>
  <c r="AJ46" i="12"/>
  <c r="AH17" i="12"/>
  <c r="AJ17" i="12" s="1"/>
  <c r="H17" i="12"/>
  <c r="AH14" i="12"/>
  <c r="AJ14" i="12" s="1"/>
  <c r="H14" i="12"/>
  <c r="V12" i="12"/>
  <c r="AH12" i="12" s="1"/>
  <c r="AJ12" i="12" s="1"/>
  <c r="H12" i="12"/>
  <c r="V10" i="12"/>
  <c r="AH10" i="12" s="1"/>
  <c r="AJ10" i="12" s="1"/>
  <c r="H10" i="12"/>
  <c r="V9" i="12"/>
  <c r="H9" i="12"/>
  <c r="H8" i="12"/>
  <c r="AH6" i="12"/>
  <c r="AJ6" i="12" s="1"/>
  <c r="AH5" i="12"/>
  <c r="AJ5" i="12" s="1"/>
  <c r="G5" i="12"/>
  <c r="F5" i="12"/>
  <c r="AH4" i="12"/>
  <c r="AJ4" i="12" s="1"/>
  <c r="G4" i="12"/>
  <c r="F4" i="12"/>
  <c r="AJ50" i="11"/>
  <c r="Z107" i="11"/>
  <c r="Z109" i="11" s="1"/>
  <c r="R109" i="11"/>
  <c r="P109" i="11"/>
  <c r="I109" i="11"/>
  <c r="AF71" i="11"/>
  <c r="AJ44" i="11"/>
  <c r="AJ45" i="11"/>
  <c r="AJ46" i="11"/>
  <c r="AJ47" i="11"/>
  <c r="S109" i="11"/>
  <c r="T109" i="11"/>
  <c r="U109" i="11"/>
  <c r="V109" i="11"/>
  <c r="X109" i="11"/>
  <c r="Y109" i="11"/>
  <c r="AA109" i="11"/>
  <c r="AB109" i="11"/>
  <c r="AC109" i="11"/>
  <c r="AE109" i="11"/>
  <c r="I107" i="11"/>
  <c r="I71" i="11"/>
  <c r="I26" i="11"/>
  <c r="W26" i="11"/>
  <c r="P71" i="11"/>
  <c r="S71" i="11"/>
  <c r="T71" i="11"/>
  <c r="U71" i="11"/>
  <c r="V71" i="11"/>
  <c r="W71" i="11"/>
  <c r="X71" i="11"/>
  <c r="Y71" i="11"/>
  <c r="Z71" i="11"/>
  <c r="AA71" i="11"/>
  <c r="AB71" i="11"/>
  <c r="AC71" i="11"/>
  <c r="AE71" i="11"/>
  <c r="R71" i="11"/>
  <c r="S50" i="11"/>
  <c r="T50" i="11"/>
  <c r="U50" i="11"/>
  <c r="V50" i="11"/>
  <c r="W50" i="11"/>
  <c r="X50" i="11"/>
  <c r="Y50" i="11"/>
  <c r="Z50" i="11"/>
  <c r="AA50" i="11"/>
  <c r="AB50" i="11"/>
  <c r="AC50" i="11"/>
  <c r="AE50" i="11"/>
  <c r="AF50" i="11"/>
  <c r="R50" i="11"/>
  <c r="P50" i="11"/>
  <c r="I50" i="11"/>
  <c r="P53" i="11"/>
  <c r="P26" i="11"/>
  <c r="S26" i="11"/>
  <c r="T26" i="11"/>
  <c r="U26" i="11"/>
  <c r="V26" i="11"/>
  <c r="AC26" i="11"/>
  <c r="AE26" i="11"/>
  <c r="AF26" i="11"/>
  <c r="R26" i="11"/>
  <c r="AH49" i="11"/>
  <c r="AJ49" i="11" s="1"/>
  <c r="AH48" i="11"/>
  <c r="AJ48" i="11" s="1"/>
  <c r="V62" i="11"/>
  <c r="V61" i="11"/>
  <c r="U59" i="11"/>
  <c r="V59" i="11"/>
  <c r="V19" i="12" l="1"/>
  <c r="V112" i="12" s="1"/>
  <c r="V78" i="12"/>
  <c r="W78" i="12"/>
  <c r="U112" i="12"/>
  <c r="U114" i="12" s="1"/>
  <c r="W112" i="12"/>
  <c r="AE112" i="12"/>
  <c r="AH71" i="12"/>
  <c r="AJ71" i="12" s="1"/>
  <c r="AH9" i="12"/>
  <c r="AJ9" i="12" s="1"/>
  <c r="AH13" i="12"/>
  <c r="AJ13" i="12" s="1"/>
  <c r="T114" i="12"/>
  <c r="S114" i="12"/>
  <c r="P114" i="12"/>
  <c r="R114" i="12"/>
  <c r="AC114" i="12"/>
  <c r="AA114" i="12"/>
  <c r="AB114" i="12"/>
  <c r="H4" i="12"/>
  <c r="AH68" i="12"/>
  <c r="AJ68" i="12" s="1"/>
  <c r="AH69" i="12"/>
  <c r="AJ69" i="12" s="1"/>
  <c r="S122" i="12"/>
  <c r="Y114" i="12"/>
  <c r="N47" i="12"/>
  <c r="N48" i="12"/>
  <c r="H5" i="12"/>
  <c r="N49" i="12"/>
  <c r="Z114" i="12"/>
  <c r="AJ49" i="12"/>
  <c r="AH25" i="12"/>
  <c r="AJ25" i="12" s="1"/>
  <c r="AH60" i="12"/>
  <c r="AJ60" i="12" s="1"/>
  <c r="AH50" i="12"/>
  <c r="AJ50" i="12" s="1"/>
  <c r="AH7" i="12"/>
  <c r="AJ7" i="12" s="1"/>
  <c r="AH16" i="12"/>
  <c r="AJ16" i="12" s="1"/>
  <c r="T134" i="12"/>
  <c r="T135" i="12" s="1"/>
  <c r="AH110" i="12"/>
  <c r="AJ110" i="12" s="1"/>
  <c r="AH96" i="12"/>
  <c r="AJ96" i="12" s="1"/>
  <c r="AH67" i="12"/>
  <c r="AJ67" i="12" s="1"/>
  <c r="R134" i="12"/>
  <c r="AH8" i="12"/>
  <c r="AJ8" i="12" s="1"/>
  <c r="AH27" i="12"/>
  <c r="AJ27" i="12" s="1"/>
  <c r="AH66" i="12"/>
  <c r="AJ66" i="12" s="1"/>
  <c r="AH19" i="12" l="1"/>
  <c r="AJ19" i="12" s="1"/>
  <c r="AJ23" i="12"/>
  <c r="AH78" i="12"/>
  <c r="AJ78" i="12" s="1"/>
  <c r="AH36" i="12"/>
  <c r="AJ36" i="12" s="1"/>
  <c r="W114" i="12"/>
  <c r="X114" i="12"/>
  <c r="R135" i="12"/>
  <c r="AE134" i="12"/>
  <c r="V114" i="12" l="1"/>
  <c r="U29" i="11"/>
  <c r="U42" i="11" s="1"/>
  <c r="V36" i="11"/>
  <c r="V42" i="11" s="1"/>
  <c r="T127" i="11"/>
  <c r="S127" i="11"/>
  <c r="R127" i="11"/>
  <c r="T123" i="11"/>
  <c r="S123" i="11"/>
  <c r="R123" i="11"/>
  <c r="AE118" i="11"/>
  <c r="AC118" i="11"/>
  <c r="AC131" i="11" s="1"/>
  <c r="AB118" i="11"/>
  <c r="AB131" i="11" s="1"/>
  <c r="AA118" i="11"/>
  <c r="AA131" i="11" s="1"/>
  <c r="Z118" i="11"/>
  <c r="Z131" i="11" s="1"/>
  <c r="Y118" i="11"/>
  <c r="Y131" i="11" s="1"/>
  <c r="X118" i="11"/>
  <c r="X131" i="11" s="1"/>
  <c r="W118" i="11"/>
  <c r="W131" i="11" s="1"/>
  <c r="V118" i="11"/>
  <c r="V131" i="11" s="1"/>
  <c r="U118" i="11"/>
  <c r="U131" i="11" s="1"/>
  <c r="T118" i="11"/>
  <c r="T131" i="11" s="1"/>
  <c r="T132" i="11" s="1"/>
  <c r="S118" i="11"/>
  <c r="S131" i="11" s="1"/>
  <c r="S132" i="11" s="1"/>
  <c r="R118" i="11"/>
  <c r="R131" i="11" s="1"/>
  <c r="R132" i="11" s="1"/>
  <c r="AE114" i="11"/>
  <c r="AC114" i="11"/>
  <c r="AB114" i="11"/>
  <c r="AA114" i="11"/>
  <c r="Z114" i="11"/>
  <c r="Y114" i="11"/>
  <c r="X114" i="11"/>
  <c r="W114" i="11"/>
  <c r="V114" i="11"/>
  <c r="U114" i="11"/>
  <c r="T114" i="11"/>
  <c r="T115" i="11" s="1"/>
  <c r="S114" i="11"/>
  <c r="S115" i="11" s="1"/>
  <c r="R114" i="11"/>
  <c r="R115" i="11" s="1"/>
  <c r="N109" i="11"/>
  <c r="M109" i="11"/>
  <c r="L109" i="11"/>
  <c r="K109" i="11"/>
  <c r="J109" i="11"/>
  <c r="AJ108" i="11"/>
  <c r="AF107" i="11"/>
  <c r="AE107" i="11"/>
  <c r="AC107" i="11"/>
  <c r="V107" i="11"/>
  <c r="U107" i="11"/>
  <c r="T107" i="11"/>
  <c r="S107" i="11"/>
  <c r="R107" i="11"/>
  <c r="P107" i="11"/>
  <c r="AH106" i="11"/>
  <c r="AJ106" i="11" s="1"/>
  <c r="AH105" i="11"/>
  <c r="AJ105" i="11" s="1"/>
  <c r="AH104" i="11"/>
  <c r="AJ104" i="11" s="1"/>
  <c r="AH70" i="11"/>
  <c r="AJ70" i="11" s="1"/>
  <c r="AH103" i="11"/>
  <c r="AJ103" i="11" s="1"/>
  <c r="AH102" i="11"/>
  <c r="AJ102" i="11" s="1"/>
  <c r="AH101" i="11"/>
  <c r="AJ101" i="11" s="1"/>
  <c r="AH100" i="11"/>
  <c r="AJ100" i="11" s="1"/>
  <c r="AH99" i="11"/>
  <c r="AJ99" i="11" s="1"/>
  <c r="AH98" i="11"/>
  <c r="AJ98" i="11" s="1"/>
  <c r="AH97" i="11"/>
  <c r="AJ97" i="11" s="1"/>
  <c r="AH96" i="11"/>
  <c r="AJ96" i="11" s="1"/>
  <c r="AH95" i="11"/>
  <c r="AJ95" i="11" s="1"/>
  <c r="AH94" i="11"/>
  <c r="AJ94" i="11" s="1"/>
  <c r="AH93" i="11"/>
  <c r="AJ93" i="11" s="1"/>
  <c r="AH92" i="11"/>
  <c r="AH91" i="11"/>
  <c r="AH90" i="11"/>
  <c r="AH89" i="11"/>
  <c r="AH88" i="11"/>
  <c r="AJ88" i="11" s="1"/>
  <c r="AH87" i="11"/>
  <c r="AJ87" i="11" s="1"/>
  <c r="AH86" i="11"/>
  <c r="AJ86" i="11" s="1"/>
  <c r="AH25" i="11"/>
  <c r="AJ25" i="11" s="1"/>
  <c r="H25" i="11"/>
  <c r="AH24" i="11"/>
  <c r="AJ24" i="11" s="1"/>
  <c r="AH85" i="11"/>
  <c r="AJ85" i="11" s="1"/>
  <c r="AH84" i="11"/>
  <c r="AJ84" i="11" s="1"/>
  <c r="H84" i="11"/>
  <c r="AH83" i="11"/>
  <c r="AJ83" i="11" s="1"/>
  <c r="H83" i="11"/>
  <c r="AH82" i="11"/>
  <c r="AJ82" i="11" s="1"/>
  <c r="H82" i="11"/>
  <c r="AH81" i="11"/>
  <c r="AJ81" i="11" s="1"/>
  <c r="H81" i="11"/>
  <c r="AH80" i="11"/>
  <c r="AJ80" i="11" s="1"/>
  <c r="AH79" i="11"/>
  <c r="AJ79" i="11" s="1"/>
  <c r="AH78" i="11"/>
  <c r="AJ78" i="11" s="1"/>
  <c r="H78" i="11"/>
  <c r="AH23" i="11"/>
  <c r="H23" i="11"/>
  <c r="AB22" i="11"/>
  <c r="AA22" i="11"/>
  <c r="AA107" i="11" s="1"/>
  <c r="Z22" i="11"/>
  <c r="Y22" i="11"/>
  <c r="Y107" i="11" s="1"/>
  <c r="X22" i="11"/>
  <c r="X107" i="11" s="1"/>
  <c r="W22" i="11"/>
  <c r="W107" i="11" s="1"/>
  <c r="H22" i="11"/>
  <c r="AH21" i="11"/>
  <c r="AJ21" i="11" s="1"/>
  <c r="H21" i="11"/>
  <c r="AH77" i="11"/>
  <c r="AJ77" i="11" s="1"/>
  <c r="AH76" i="11"/>
  <c r="AJ76" i="11" s="1"/>
  <c r="H76" i="11"/>
  <c r="AH75" i="11"/>
  <c r="AH74" i="11"/>
  <c r="AJ74" i="11" s="1"/>
  <c r="AH73" i="11"/>
  <c r="AJ73" i="11" s="1"/>
  <c r="AH69" i="11"/>
  <c r="AJ69" i="11" s="1"/>
  <c r="H69" i="11"/>
  <c r="AH68" i="11"/>
  <c r="AJ68" i="11" s="1"/>
  <c r="H68" i="11"/>
  <c r="AH67" i="11"/>
  <c r="AJ67" i="11" s="1"/>
  <c r="H67" i="11"/>
  <c r="AH66" i="11"/>
  <c r="AJ66" i="11" s="1"/>
  <c r="H66" i="11"/>
  <c r="AH65" i="11"/>
  <c r="AJ65" i="11" s="1"/>
  <c r="H65" i="11"/>
  <c r="AH64" i="11"/>
  <c r="AJ64" i="11" s="1"/>
  <c r="H64" i="11"/>
  <c r="AH63" i="11"/>
  <c r="AJ63" i="11" s="1"/>
  <c r="H63" i="11"/>
  <c r="X62" i="11"/>
  <c r="W62" i="11"/>
  <c r="H62" i="11"/>
  <c r="W61" i="11"/>
  <c r="AH61" i="11" s="1"/>
  <c r="AJ61" i="11" s="1"/>
  <c r="H61" i="11"/>
  <c r="X60" i="11"/>
  <c r="W60" i="11"/>
  <c r="H60" i="11"/>
  <c r="AH59" i="11"/>
  <c r="AJ59" i="11" s="1"/>
  <c r="H59" i="11"/>
  <c r="AH58" i="11"/>
  <c r="AJ58" i="11" s="1"/>
  <c r="H58" i="11"/>
  <c r="AH57" i="11"/>
  <c r="AJ57" i="11" s="1"/>
  <c r="H57" i="11"/>
  <c r="AH56" i="11"/>
  <c r="AJ56" i="11" s="1"/>
  <c r="H56" i="11"/>
  <c r="AH55" i="11"/>
  <c r="AJ55" i="11" s="1"/>
  <c r="H55" i="11"/>
  <c r="AE53" i="11"/>
  <c r="AC53" i="11"/>
  <c r="AB53" i="11"/>
  <c r="AA53" i="11"/>
  <c r="Z53" i="11"/>
  <c r="Y53" i="11"/>
  <c r="X53" i="11"/>
  <c r="W53" i="11"/>
  <c r="W109" i="11" s="1"/>
  <c r="V53" i="11"/>
  <c r="U53" i="11"/>
  <c r="T53" i="11"/>
  <c r="S53" i="11"/>
  <c r="R53" i="11"/>
  <c r="I53" i="11"/>
  <c r="AH52" i="11"/>
  <c r="AJ52" i="11" s="1"/>
  <c r="H52" i="11"/>
  <c r="AF42" i="11"/>
  <c r="AE42" i="11"/>
  <c r="AC42" i="11"/>
  <c r="AB42" i="11"/>
  <c r="AA42" i="11"/>
  <c r="Z42" i="11"/>
  <c r="Y42" i="11"/>
  <c r="T42" i="11"/>
  <c r="S42" i="11"/>
  <c r="R42" i="11"/>
  <c r="P42" i="11"/>
  <c r="I42" i="11"/>
  <c r="AH41" i="11"/>
  <c r="AJ41" i="11" s="1"/>
  <c r="W40" i="11"/>
  <c r="AH40" i="11" s="1"/>
  <c r="AJ40" i="11" s="1"/>
  <c r="H40" i="11"/>
  <c r="AH39" i="11"/>
  <c r="AJ39" i="11" s="1"/>
  <c r="W38" i="11"/>
  <c r="AH38" i="11" s="1"/>
  <c r="AJ38" i="11" s="1"/>
  <c r="H38" i="11"/>
  <c r="W37" i="11"/>
  <c r="AH37" i="11" s="1"/>
  <c r="AJ37" i="11" s="1"/>
  <c r="H37" i="11"/>
  <c r="W36" i="11"/>
  <c r="AH36" i="11" s="1"/>
  <c r="AJ36" i="11" s="1"/>
  <c r="H36" i="11"/>
  <c r="W35" i="11"/>
  <c r="AH35" i="11" s="1"/>
  <c r="AJ35" i="11" s="1"/>
  <c r="H35" i="11"/>
  <c r="AH34" i="11"/>
  <c r="AJ34" i="11" s="1"/>
  <c r="H34" i="11"/>
  <c r="AH33" i="11"/>
  <c r="AJ33" i="11" s="1"/>
  <c r="H33" i="11"/>
  <c r="AH32" i="11"/>
  <c r="AJ32" i="11" s="1"/>
  <c r="H32" i="11"/>
  <c r="X31" i="11"/>
  <c r="X42" i="11" s="1"/>
  <c r="W31" i="11"/>
  <c r="H31" i="11"/>
  <c r="W30" i="11"/>
  <c r="AH30" i="11" s="1"/>
  <c r="AJ30" i="11" s="1"/>
  <c r="H30" i="11"/>
  <c r="H29" i="11"/>
  <c r="AH28" i="11"/>
  <c r="AJ28" i="11" s="1"/>
  <c r="F28" i="11"/>
  <c r="AA20" i="11"/>
  <c r="Z20" i="11"/>
  <c r="Z26" i="11" s="1"/>
  <c r="Y20" i="11"/>
  <c r="X20" i="11"/>
  <c r="W20" i="11"/>
  <c r="F20" i="11"/>
  <c r="H20" i="11" s="1"/>
  <c r="AF18" i="11"/>
  <c r="AE18" i="11"/>
  <c r="AC18" i="11"/>
  <c r="AB18" i="11"/>
  <c r="AA18" i="11"/>
  <c r="Z18" i="11"/>
  <c r="Y18" i="11"/>
  <c r="X18" i="11"/>
  <c r="U18" i="11"/>
  <c r="T18" i="11"/>
  <c r="S18" i="11"/>
  <c r="R18" i="11"/>
  <c r="P18" i="11"/>
  <c r="I18" i="11"/>
  <c r="W17" i="11"/>
  <c r="W18" i="11" s="1"/>
  <c r="M17" i="11"/>
  <c r="K17" i="11"/>
  <c r="H17" i="11"/>
  <c r="AH16" i="11"/>
  <c r="AJ16" i="11" s="1"/>
  <c r="M16" i="11"/>
  <c r="K16" i="11"/>
  <c r="H16" i="11"/>
  <c r="AH15" i="11"/>
  <c r="AJ15" i="11" s="1"/>
  <c r="V18" i="11"/>
  <c r="M15" i="11"/>
  <c r="K15" i="11"/>
  <c r="H15" i="11"/>
  <c r="AJ14" i="11"/>
  <c r="AF13" i="11"/>
  <c r="AE13" i="11"/>
  <c r="AC13" i="11"/>
  <c r="AB13" i="11"/>
  <c r="AA13" i="11"/>
  <c r="Z13" i="11"/>
  <c r="Y13" i="11"/>
  <c r="X13" i="11"/>
  <c r="U13" i="11"/>
  <c r="T13" i="11"/>
  <c r="S13" i="11"/>
  <c r="R13" i="11"/>
  <c r="P13" i="11"/>
  <c r="I13" i="11"/>
  <c r="AH12" i="11"/>
  <c r="AJ12" i="11" s="1"/>
  <c r="H12" i="11"/>
  <c r="V11" i="11"/>
  <c r="AH11" i="11" s="1"/>
  <c r="AJ11" i="11" s="1"/>
  <c r="H11" i="11"/>
  <c r="V10" i="11"/>
  <c r="AH10" i="11" s="1"/>
  <c r="AJ10" i="11" s="1"/>
  <c r="H10" i="11"/>
  <c r="V9" i="11"/>
  <c r="AH9" i="11" s="1"/>
  <c r="AJ9" i="11" s="1"/>
  <c r="H9" i="11"/>
  <c r="V8" i="11"/>
  <c r="AH8" i="11" s="1"/>
  <c r="AJ8" i="11" s="1"/>
  <c r="H8" i="11"/>
  <c r="W7" i="11"/>
  <c r="W13" i="11" s="1"/>
  <c r="H7" i="11"/>
  <c r="AH6" i="11"/>
  <c r="AJ6" i="11" s="1"/>
  <c r="AH5" i="11"/>
  <c r="AJ5" i="11" s="1"/>
  <c r="G5" i="11"/>
  <c r="F5" i="11"/>
  <c r="AH4" i="11"/>
  <c r="AJ4" i="11" s="1"/>
  <c r="G4" i="11"/>
  <c r="F4" i="11"/>
  <c r="V11" i="9"/>
  <c r="V10" i="9"/>
  <c r="V9" i="9"/>
  <c r="V8" i="9"/>
  <c r="AJ19" i="9"/>
  <c r="F20" i="9"/>
  <c r="H20" i="9" s="1"/>
  <c r="W20" i="9"/>
  <c r="X20" i="9"/>
  <c r="AH20" i="9" s="1"/>
  <c r="AJ20" i="9" s="1"/>
  <c r="Y20" i="9"/>
  <c r="Z20" i="9"/>
  <c r="AA20" i="9"/>
  <c r="AH112" i="12" l="1"/>
  <c r="AJ112" i="12" s="1"/>
  <c r="X26" i="11"/>
  <c r="Y26" i="11"/>
  <c r="AA26" i="11"/>
  <c r="AB107" i="11"/>
  <c r="AB26" i="11"/>
  <c r="AH62" i="11"/>
  <c r="AJ62" i="11" s="1"/>
  <c r="H5" i="11"/>
  <c r="AF53" i="11"/>
  <c r="AH53" i="11" s="1"/>
  <c r="AJ53" i="11" s="1"/>
  <c r="AB111" i="11"/>
  <c r="AH31" i="11"/>
  <c r="AJ31" i="11" s="1"/>
  <c r="N16" i="11"/>
  <c r="T119" i="11"/>
  <c r="AH20" i="11"/>
  <c r="AJ20" i="11" s="1"/>
  <c r="H4" i="11"/>
  <c r="AC111" i="11"/>
  <c r="R119" i="11"/>
  <c r="AH17" i="11"/>
  <c r="AJ17" i="11" s="1"/>
  <c r="S119" i="11"/>
  <c r="AH7" i="11"/>
  <c r="AJ7" i="11" s="1"/>
  <c r="X111" i="11"/>
  <c r="V13" i="11"/>
  <c r="AH13" i="11" s="1"/>
  <c r="AJ13" i="11" s="1"/>
  <c r="Z111" i="11"/>
  <c r="N15" i="11"/>
  <c r="AH29" i="11"/>
  <c r="AJ29" i="11" s="1"/>
  <c r="AA111" i="11"/>
  <c r="N17" i="11"/>
  <c r="Y111" i="11"/>
  <c r="S111" i="11"/>
  <c r="W42" i="11"/>
  <c r="AH107" i="11"/>
  <c r="AJ107" i="11" s="1"/>
  <c r="AH60" i="11"/>
  <c r="AJ60" i="11" s="1"/>
  <c r="U111" i="11"/>
  <c r="AH18" i="11"/>
  <c r="AJ18" i="11" s="1"/>
  <c r="AH22" i="11"/>
  <c r="AJ22" i="11" s="1"/>
  <c r="AE131" i="11"/>
  <c r="AH42" i="11" l="1"/>
  <c r="AJ42" i="11" s="1"/>
  <c r="AH50" i="11"/>
  <c r="W111" i="11"/>
  <c r="V111" i="11"/>
  <c r="AH26" i="11"/>
  <c r="AJ26" i="11" s="1"/>
  <c r="V48" i="1" l="1"/>
  <c r="V49" i="1"/>
  <c r="V51" i="1"/>
  <c r="V52" i="1"/>
  <c r="V53" i="1"/>
  <c r="V54" i="1"/>
  <c r="V55" i="1"/>
  <c r="V56" i="1"/>
  <c r="V57" i="1"/>
  <c r="V58" i="1"/>
  <c r="V50" i="1"/>
  <c r="Q23" i="1"/>
  <c r="X53" i="9"/>
  <c r="W53" i="9"/>
  <c r="V53" i="9"/>
  <c r="X51" i="9"/>
  <c r="W51" i="9"/>
  <c r="V51" i="9"/>
  <c r="W52" i="9"/>
  <c r="V52" i="9"/>
  <c r="V50" i="9"/>
  <c r="W35" i="9"/>
  <c r="V35" i="9"/>
  <c r="W33" i="9"/>
  <c r="V33" i="9"/>
  <c r="W32" i="9"/>
  <c r="V32" i="9"/>
  <c r="W31" i="9"/>
  <c r="V31" i="9"/>
  <c r="W30" i="9"/>
  <c r="V30" i="9"/>
  <c r="X26" i="9"/>
  <c r="W26" i="9"/>
  <c r="W25" i="9"/>
  <c r="V25" i="9"/>
  <c r="W17" i="9"/>
  <c r="V17" i="9"/>
  <c r="V16" i="9"/>
  <c r="V15" i="9"/>
  <c r="W7" i="9"/>
  <c r="Q45" i="1" l="1"/>
  <c r="Q43" i="1"/>
  <c r="Q42" i="1"/>
  <c r="Q44" i="1"/>
  <c r="Q24" i="1"/>
  <c r="Q34" i="1"/>
  <c r="R21" i="1"/>
  <c r="S123" i="9" l="1"/>
  <c r="T123" i="9"/>
  <c r="S119" i="9"/>
  <c r="T119" i="9"/>
  <c r="T8" i="1"/>
  <c r="I103" i="9"/>
  <c r="S103" i="9"/>
  <c r="T103" i="9"/>
  <c r="U103" i="9"/>
  <c r="AC103" i="9"/>
  <c r="R123" i="9" l="1"/>
  <c r="R119" i="9"/>
  <c r="AE114" i="9"/>
  <c r="AC114" i="9"/>
  <c r="AC127" i="9" s="1"/>
  <c r="AB114" i="9"/>
  <c r="AB127" i="9" s="1"/>
  <c r="AA114" i="9"/>
  <c r="AA127" i="9" s="1"/>
  <c r="Z114" i="9"/>
  <c r="Z127" i="9" s="1"/>
  <c r="Y114" i="9"/>
  <c r="Y127" i="9" s="1"/>
  <c r="X114" i="9"/>
  <c r="X127" i="9" s="1"/>
  <c r="W114" i="9"/>
  <c r="W127" i="9" s="1"/>
  <c r="V114" i="9"/>
  <c r="V127" i="9" s="1"/>
  <c r="U114" i="9"/>
  <c r="U127" i="9" s="1"/>
  <c r="T114" i="9"/>
  <c r="S114" i="9"/>
  <c r="S115" i="9" s="1"/>
  <c r="R114" i="9"/>
  <c r="R115" i="9" s="1"/>
  <c r="AE110" i="9"/>
  <c r="AC110" i="9"/>
  <c r="AB110" i="9"/>
  <c r="AA110" i="9"/>
  <c r="Z110" i="9"/>
  <c r="Y110" i="9"/>
  <c r="X110" i="9"/>
  <c r="W110" i="9"/>
  <c r="V110" i="9"/>
  <c r="U110" i="9"/>
  <c r="T110" i="9"/>
  <c r="T111" i="9" s="1"/>
  <c r="S110" i="9"/>
  <c r="S111" i="9" s="1"/>
  <c r="R110" i="9"/>
  <c r="R111" i="9" s="1"/>
  <c r="N105" i="9"/>
  <c r="M105" i="9"/>
  <c r="L105" i="9"/>
  <c r="K105" i="9"/>
  <c r="J105" i="9"/>
  <c r="AJ104" i="9"/>
  <c r="AF103" i="9"/>
  <c r="AE103" i="9"/>
  <c r="R103" i="9"/>
  <c r="P103" i="9"/>
  <c r="AH102" i="9"/>
  <c r="AJ102" i="9" s="1"/>
  <c r="AH101" i="9"/>
  <c r="AJ101" i="9" s="1"/>
  <c r="AH100" i="9"/>
  <c r="AJ100" i="9" s="1"/>
  <c r="AH99" i="9"/>
  <c r="AJ99" i="9" s="1"/>
  <c r="AH98" i="9"/>
  <c r="AJ98" i="9" s="1"/>
  <c r="AH97" i="9"/>
  <c r="AJ97" i="9" s="1"/>
  <c r="AH96" i="9"/>
  <c r="AJ96" i="9" s="1"/>
  <c r="AH95" i="9"/>
  <c r="AJ95" i="9" s="1"/>
  <c r="AH94" i="9"/>
  <c r="AJ94" i="9" s="1"/>
  <c r="AH93" i="9"/>
  <c r="AJ93" i="9" s="1"/>
  <c r="AH92" i="9"/>
  <c r="AJ92" i="9" s="1"/>
  <c r="AH91" i="9"/>
  <c r="AJ91" i="9" s="1"/>
  <c r="AH90" i="9"/>
  <c r="AJ90" i="9" s="1"/>
  <c r="AH89" i="9"/>
  <c r="AJ89" i="9" s="1"/>
  <c r="AH88" i="9"/>
  <c r="AJ88" i="9" s="1"/>
  <c r="AH87" i="9"/>
  <c r="AH86" i="9"/>
  <c r="AH85" i="9"/>
  <c r="AH84" i="9"/>
  <c r="AH83" i="9"/>
  <c r="AJ83" i="9" s="1"/>
  <c r="AH82" i="9"/>
  <c r="AJ82" i="9" s="1"/>
  <c r="AH81" i="9"/>
  <c r="AJ81" i="9" s="1"/>
  <c r="AH80" i="9"/>
  <c r="AJ80" i="9" s="1"/>
  <c r="H80" i="9"/>
  <c r="AH79" i="9"/>
  <c r="AJ79" i="9" s="1"/>
  <c r="AH78" i="9"/>
  <c r="AJ78" i="9" s="1"/>
  <c r="AH77" i="9"/>
  <c r="AJ77" i="9" s="1"/>
  <c r="H77" i="9"/>
  <c r="AH76" i="9"/>
  <c r="AJ76" i="9" s="1"/>
  <c r="H76" i="9"/>
  <c r="AH75" i="9"/>
  <c r="AJ75" i="9" s="1"/>
  <c r="H75" i="9"/>
  <c r="AH74" i="9"/>
  <c r="AJ74" i="9" s="1"/>
  <c r="H74" i="9"/>
  <c r="AH73" i="9"/>
  <c r="AJ73" i="9" s="1"/>
  <c r="AH72" i="9"/>
  <c r="AJ72" i="9" s="1"/>
  <c r="AH71" i="9"/>
  <c r="AJ71" i="9" s="1"/>
  <c r="H71" i="9"/>
  <c r="AH70" i="9"/>
  <c r="H70" i="9"/>
  <c r="AB69" i="9"/>
  <c r="AB103" i="9" s="1"/>
  <c r="AA69" i="9"/>
  <c r="Z69" i="9"/>
  <c r="Y69" i="9"/>
  <c r="X69" i="9"/>
  <c r="W69" i="9"/>
  <c r="H69" i="9"/>
  <c r="AH68" i="9"/>
  <c r="AJ68" i="9" s="1"/>
  <c r="H68" i="9"/>
  <c r="AH67" i="9"/>
  <c r="AJ67" i="9" s="1"/>
  <c r="AH66" i="9"/>
  <c r="AJ66" i="9" s="1"/>
  <c r="H66" i="9"/>
  <c r="V103" i="9"/>
  <c r="AH65" i="9"/>
  <c r="AH64" i="9"/>
  <c r="AJ64" i="9" s="1"/>
  <c r="AH63" i="9"/>
  <c r="AJ63" i="9" s="1"/>
  <c r="AH60" i="9"/>
  <c r="AJ60" i="9" s="1"/>
  <c r="H60" i="9"/>
  <c r="AH59" i="9"/>
  <c r="AJ59" i="9" s="1"/>
  <c r="H59" i="9"/>
  <c r="AH58" i="9"/>
  <c r="AJ58" i="9" s="1"/>
  <c r="H58" i="9"/>
  <c r="AH57" i="9"/>
  <c r="AJ57" i="9" s="1"/>
  <c r="H57" i="9"/>
  <c r="AH56" i="9"/>
  <c r="AJ56" i="9" s="1"/>
  <c r="H56" i="9"/>
  <c r="AH55" i="9"/>
  <c r="AJ55" i="9" s="1"/>
  <c r="H55" i="9"/>
  <c r="AH54" i="9"/>
  <c r="AJ54" i="9" s="1"/>
  <c r="H54" i="9"/>
  <c r="AH53" i="9"/>
  <c r="AJ53" i="9" s="1"/>
  <c r="H53" i="9"/>
  <c r="AH52" i="9"/>
  <c r="AJ52" i="9" s="1"/>
  <c r="H52" i="9"/>
  <c r="AH51" i="9"/>
  <c r="AJ51" i="9" s="1"/>
  <c r="H51" i="9"/>
  <c r="AH50" i="9"/>
  <c r="AJ50" i="9" s="1"/>
  <c r="H50" i="9"/>
  <c r="AH49" i="9"/>
  <c r="AJ49" i="9" s="1"/>
  <c r="H49" i="9"/>
  <c r="AH48" i="9"/>
  <c r="AJ48" i="9" s="1"/>
  <c r="H48" i="9"/>
  <c r="AH47" i="9"/>
  <c r="AJ47" i="9" s="1"/>
  <c r="H47" i="9"/>
  <c r="AH46" i="9"/>
  <c r="AJ46" i="9" s="1"/>
  <c r="H46" i="9"/>
  <c r="AJ45" i="9"/>
  <c r="AE44" i="9"/>
  <c r="AC44" i="9"/>
  <c r="AB44" i="9"/>
  <c r="AA44" i="9"/>
  <c r="Z44" i="9"/>
  <c r="Y44" i="9"/>
  <c r="X44" i="9"/>
  <c r="W44" i="9"/>
  <c r="V44" i="9"/>
  <c r="U44" i="9"/>
  <c r="T44" i="9"/>
  <c r="S44" i="9"/>
  <c r="R44" i="9"/>
  <c r="P44" i="9"/>
  <c r="I44" i="9"/>
  <c r="AH39" i="9"/>
  <c r="AJ39" i="9" s="1"/>
  <c r="H39" i="9"/>
  <c r="AJ38" i="9"/>
  <c r="AF37" i="9"/>
  <c r="AF44" i="9" s="1"/>
  <c r="AE37" i="9"/>
  <c r="AC37" i="9"/>
  <c r="AB37" i="9"/>
  <c r="AA37" i="9"/>
  <c r="Z37" i="9"/>
  <c r="Y37" i="9"/>
  <c r="X37" i="9"/>
  <c r="W37" i="9"/>
  <c r="V37" i="9"/>
  <c r="U37" i="9"/>
  <c r="T37" i="9"/>
  <c r="S37" i="9"/>
  <c r="R37" i="9"/>
  <c r="P37" i="9"/>
  <c r="I37" i="9"/>
  <c r="AH36" i="9"/>
  <c r="AJ36" i="9" s="1"/>
  <c r="AH35" i="9"/>
  <c r="AJ35" i="9" s="1"/>
  <c r="H35" i="9"/>
  <c r="AH34" i="9"/>
  <c r="AJ34" i="9" s="1"/>
  <c r="AH33" i="9"/>
  <c r="AJ33" i="9" s="1"/>
  <c r="H33" i="9"/>
  <c r="AH32" i="9"/>
  <c r="AJ32" i="9" s="1"/>
  <c r="H32" i="9"/>
  <c r="AH31" i="9"/>
  <c r="AJ31" i="9" s="1"/>
  <c r="H31" i="9"/>
  <c r="AH30" i="9"/>
  <c r="AJ30" i="9" s="1"/>
  <c r="H30" i="9"/>
  <c r="AH29" i="9"/>
  <c r="AJ29" i="9" s="1"/>
  <c r="H29" i="9"/>
  <c r="AH28" i="9"/>
  <c r="AJ28" i="9" s="1"/>
  <c r="H28" i="9"/>
  <c r="AH27" i="9"/>
  <c r="AJ27" i="9" s="1"/>
  <c r="H27" i="9"/>
  <c r="AH26" i="9"/>
  <c r="AJ26" i="9" s="1"/>
  <c r="H26" i="9"/>
  <c r="AH25" i="9"/>
  <c r="AJ25" i="9" s="1"/>
  <c r="H25" i="9"/>
  <c r="AH24" i="9"/>
  <c r="AJ24" i="9" s="1"/>
  <c r="H24" i="9"/>
  <c r="AH23" i="9"/>
  <c r="AJ23" i="9" s="1"/>
  <c r="F23" i="9"/>
  <c r="AJ22" i="9"/>
  <c r="AF18" i="9"/>
  <c r="AF21" i="9" s="1"/>
  <c r="AE18" i="9"/>
  <c r="AE21" i="9" s="1"/>
  <c r="AC18" i="9"/>
  <c r="AC21" i="9" s="1"/>
  <c r="AB18" i="9"/>
  <c r="AB21" i="9" s="1"/>
  <c r="AA18" i="9"/>
  <c r="AA21" i="9" s="1"/>
  <c r="Z18" i="9"/>
  <c r="Z21" i="9" s="1"/>
  <c r="Y18" i="9"/>
  <c r="Y21" i="9" s="1"/>
  <c r="X18" i="9"/>
  <c r="X21" i="9" s="1"/>
  <c r="W18" i="9"/>
  <c r="W21" i="9" s="1"/>
  <c r="V18" i="9"/>
  <c r="V21" i="9" s="1"/>
  <c r="U18" i="9"/>
  <c r="U21" i="9" s="1"/>
  <c r="T18" i="9"/>
  <c r="T21" i="9" s="1"/>
  <c r="S18" i="9"/>
  <c r="S21" i="9" s="1"/>
  <c r="R18" i="9"/>
  <c r="R21" i="9" s="1"/>
  <c r="P18" i="9"/>
  <c r="P21" i="9" s="1"/>
  <c r="I18" i="9"/>
  <c r="I21" i="9" s="1"/>
  <c r="AH17" i="9"/>
  <c r="AJ17" i="9" s="1"/>
  <c r="M17" i="9"/>
  <c r="K17" i="9"/>
  <c r="H17" i="9"/>
  <c r="AH16" i="9"/>
  <c r="AJ16" i="9" s="1"/>
  <c r="M16" i="9"/>
  <c r="K16" i="9"/>
  <c r="H16" i="9"/>
  <c r="AH15" i="9"/>
  <c r="AJ15" i="9" s="1"/>
  <c r="M15" i="9"/>
  <c r="K15" i="9"/>
  <c r="H15" i="9"/>
  <c r="AJ14" i="9"/>
  <c r="AF13" i="9"/>
  <c r="AE13" i="9"/>
  <c r="AC13" i="9"/>
  <c r="AB13" i="9"/>
  <c r="AA13" i="9"/>
  <c r="Z13" i="9"/>
  <c r="Y13" i="9"/>
  <c r="X13" i="9"/>
  <c r="W13" i="9"/>
  <c r="V13" i="9"/>
  <c r="U13" i="9"/>
  <c r="T13" i="9"/>
  <c r="S13" i="9"/>
  <c r="R13" i="9"/>
  <c r="P13" i="9"/>
  <c r="I13" i="9"/>
  <c r="AH12" i="9"/>
  <c r="AJ12" i="9" s="1"/>
  <c r="H12" i="9"/>
  <c r="AH11" i="9"/>
  <c r="AJ11" i="9" s="1"/>
  <c r="H11" i="9"/>
  <c r="AH10" i="9"/>
  <c r="AJ10" i="9" s="1"/>
  <c r="H10" i="9"/>
  <c r="AH9" i="9"/>
  <c r="AJ9" i="9" s="1"/>
  <c r="H9" i="9"/>
  <c r="AH8" i="9"/>
  <c r="AJ8" i="9" s="1"/>
  <c r="H8" i="9"/>
  <c r="AH7" i="9"/>
  <c r="AJ7" i="9" s="1"/>
  <c r="H7" i="9"/>
  <c r="AH6" i="9"/>
  <c r="AJ6" i="9" s="1"/>
  <c r="AH5" i="9"/>
  <c r="AJ5" i="9" s="1"/>
  <c r="G5" i="9"/>
  <c r="F5" i="9"/>
  <c r="AH4" i="9"/>
  <c r="AJ4" i="9" s="1"/>
  <c r="G4" i="9"/>
  <c r="F4" i="9"/>
  <c r="AH66" i="8"/>
  <c r="AJ66" i="8" s="1"/>
  <c r="AH21" i="9" l="1"/>
  <c r="AJ21" i="9" s="1"/>
  <c r="H5" i="9"/>
  <c r="H4" i="9"/>
  <c r="N16" i="9"/>
  <c r="W103" i="9"/>
  <c r="N15" i="9"/>
  <c r="N17" i="9"/>
  <c r="Z103" i="9"/>
  <c r="AH69" i="9"/>
  <c r="AJ69" i="9" s="1"/>
  <c r="X103" i="9"/>
  <c r="S105" i="9"/>
  <c r="S107" i="9" s="1"/>
  <c r="Y103" i="9"/>
  <c r="S127" i="9"/>
  <c r="S128" i="9" s="1"/>
  <c r="T127" i="9"/>
  <c r="T128" i="9" s="1"/>
  <c r="T115" i="9"/>
  <c r="AH44" i="9"/>
  <c r="AJ44" i="9" s="1"/>
  <c r="AA103" i="9"/>
  <c r="AH37" i="9"/>
  <c r="AJ37" i="9" s="1"/>
  <c r="AH18" i="9"/>
  <c r="AJ18" i="9" s="1"/>
  <c r="AH13" i="9"/>
  <c r="AJ13" i="9" s="1"/>
  <c r="R127" i="9"/>
  <c r="R128" i="9" s="1"/>
  <c r="R104" i="8"/>
  <c r="AH103" i="9" l="1"/>
  <c r="AJ103" i="9" s="1"/>
  <c r="AE127" i="9"/>
  <c r="T34" i="8"/>
  <c r="U34" i="8"/>
  <c r="V34" i="8"/>
  <c r="W34" i="8"/>
  <c r="X34" i="8"/>
  <c r="Y34" i="8"/>
  <c r="Z34" i="8"/>
  <c r="AA34" i="8"/>
  <c r="AB34" i="8"/>
  <c r="AC34" i="8"/>
  <c r="AE34" i="8"/>
  <c r="AF34" i="8"/>
  <c r="S34" i="8"/>
  <c r="R34" i="8"/>
  <c r="P34" i="8"/>
  <c r="J99" i="8"/>
  <c r="K99" i="8"/>
  <c r="L99" i="8"/>
  <c r="M99" i="8"/>
  <c r="N99" i="8"/>
  <c r="AJ43" i="8"/>
  <c r="AJ14" i="8"/>
  <c r="AJ19" i="8"/>
  <c r="AJ35" i="8"/>
  <c r="AJ38" i="8"/>
  <c r="AJ55" i="8"/>
  <c r="AJ71" i="8"/>
  <c r="AJ98" i="8"/>
  <c r="R120" i="8"/>
  <c r="R117" i="8"/>
  <c r="R113" i="8"/>
  <c r="AE108" i="8"/>
  <c r="AC108" i="8"/>
  <c r="AC121" i="8" s="1"/>
  <c r="AB108" i="8"/>
  <c r="AB121" i="8" s="1"/>
  <c r="AA108" i="8"/>
  <c r="AA121" i="8" s="1"/>
  <c r="Z108" i="8"/>
  <c r="Z121" i="8" s="1"/>
  <c r="Y108" i="8"/>
  <c r="Y121" i="8" s="1"/>
  <c r="X108" i="8"/>
  <c r="X121" i="8" s="1"/>
  <c r="W108" i="8"/>
  <c r="W121" i="8" s="1"/>
  <c r="V108" i="8"/>
  <c r="V121" i="8" s="1"/>
  <c r="U108" i="8"/>
  <c r="U121" i="8" s="1"/>
  <c r="T108" i="8"/>
  <c r="T121" i="8" s="1"/>
  <c r="S108" i="8"/>
  <c r="S121" i="8" s="1"/>
  <c r="R108" i="8"/>
  <c r="R109" i="8" s="1"/>
  <c r="AE104" i="8"/>
  <c r="AC104" i="8"/>
  <c r="AB104" i="8"/>
  <c r="AA104" i="8"/>
  <c r="Z104" i="8"/>
  <c r="Y104" i="8"/>
  <c r="X104" i="8"/>
  <c r="W104" i="8"/>
  <c r="V104" i="8"/>
  <c r="U104" i="8"/>
  <c r="T104" i="8"/>
  <c r="S104" i="8"/>
  <c r="R105" i="8"/>
  <c r="AF97" i="8"/>
  <c r="AE97" i="8"/>
  <c r="AC97" i="8"/>
  <c r="U97" i="8"/>
  <c r="T97" i="8"/>
  <c r="S97" i="8"/>
  <c r="R97" i="8"/>
  <c r="P97" i="8"/>
  <c r="I97" i="8"/>
  <c r="AH96" i="8"/>
  <c r="AJ96" i="8" s="1"/>
  <c r="AH95" i="8"/>
  <c r="AJ95" i="8" s="1"/>
  <c r="AH94" i="8"/>
  <c r="AJ94" i="8" s="1"/>
  <c r="AH93" i="8"/>
  <c r="AJ93" i="8" s="1"/>
  <c r="AH90" i="8"/>
  <c r="AJ90" i="8" s="1"/>
  <c r="AH89" i="8"/>
  <c r="AJ89" i="8" s="1"/>
  <c r="AH88" i="8"/>
  <c r="AJ88" i="8" s="1"/>
  <c r="AH87" i="8"/>
  <c r="AJ87" i="8" s="1"/>
  <c r="AH86" i="8"/>
  <c r="AJ86" i="8" s="1"/>
  <c r="AH85" i="8"/>
  <c r="AJ85" i="8" s="1"/>
  <c r="AH84" i="8"/>
  <c r="AJ84" i="8" s="1"/>
  <c r="AH83" i="8"/>
  <c r="AJ83" i="8" s="1"/>
  <c r="AH82" i="8"/>
  <c r="AJ82" i="8" s="1"/>
  <c r="AH81" i="8"/>
  <c r="AH80" i="8"/>
  <c r="AH79" i="8"/>
  <c r="AH78" i="8"/>
  <c r="AH77" i="8"/>
  <c r="AJ77" i="8" s="1"/>
  <c r="AH76" i="8"/>
  <c r="AJ76" i="8" s="1"/>
  <c r="AH75" i="8"/>
  <c r="AJ75" i="8" s="1"/>
  <c r="AH74" i="8"/>
  <c r="AJ74" i="8" s="1"/>
  <c r="H74" i="8"/>
  <c r="AH73" i="8"/>
  <c r="AJ73" i="8" s="1"/>
  <c r="AH72" i="8"/>
  <c r="AJ72" i="8" s="1"/>
  <c r="AH71" i="8"/>
  <c r="H71" i="8"/>
  <c r="AH70" i="8"/>
  <c r="AJ70" i="8" s="1"/>
  <c r="H70" i="8"/>
  <c r="AH69" i="8"/>
  <c r="AJ69" i="8" s="1"/>
  <c r="H69" i="8"/>
  <c r="AH68" i="8"/>
  <c r="AJ68" i="8" s="1"/>
  <c r="H68" i="8"/>
  <c r="AH65" i="8"/>
  <c r="AJ65" i="8" s="1"/>
  <c r="H65" i="8"/>
  <c r="AH64" i="8"/>
  <c r="H64" i="8"/>
  <c r="AB63" i="8"/>
  <c r="AB97" i="8" s="1"/>
  <c r="AA63" i="8"/>
  <c r="Z63" i="8"/>
  <c r="Z97" i="8" s="1"/>
  <c r="Y63" i="8"/>
  <c r="X63" i="8"/>
  <c r="W63" i="8"/>
  <c r="H63" i="8"/>
  <c r="AH62" i="8"/>
  <c r="AJ62" i="8" s="1"/>
  <c r="H62" i="8"/>
  <c r="AH61" i="8"/>
  <c r="AJ61" i="8" s="1"/>
  <c r="AH60" i="8"/>
  <c r="AJ60" i="8" s="1"/>
  <c r="H60" i="8"/>
  <c r="AA59" i="8"/>
  <c r="Z59" i="8"/>
  <c r="Y59" i="8"/>
  <c r="X59" i="8"/>
  <c r="X97" i="8" s="1"/>
  <c r="W59" i="8"/>
  <c r="V59" i="8"/>
  <c r="V97" i="8" s="1"/>
  <c r="F59" i="8"/>
  <c r="H59" i="8" s="1"/>
  <c r="AH58" i="8"/>
  <c r="AH57" i="8"/>
  <c r="AJ57" i="8" s="1"/>
  <c r="AH56" i="8"/>
  <c r="AJ56" i="8" s="1"/>
  <c r="AH92" i="8"/>
  <c r="AJ92" i="8" s="1"/>
  <c r="AH53" i="8"/>
  <c r="AJ53" i="8" s="1"/>
  <c r="H53" i="8"/>
  <c r="AH52" i="8"/>
  <c r="AJ52" i="8" s="1"/>
  <c r="H52" i="8"/>
  <c r="AH51" i="8"/>
  <c r="AJ51" i="8" s="1"/>
  <c r="H51" i="8"/>
  <c r="AH50" i="8"/>
  <c r="AJ50" i="8" s="1"/>
  <c r="H50" i="8"/>
  <c r="AH49" i="8"/>
  <c r="AJ49" i="8" s="1"/>
  <c r="H49" i="8"/>
  <c r="AH48" i="8"/>
  <c r="AJ48" i="8" s="1"/>
  <c r="H48" i="8"/>
  <c r="AH47" i="8"/>
  <c r="AJ47" i="8" s="1"/>
  <c r="H47" i="8"/>
  <c r="AH91" i="8"/>
  <c r="AJ91" i="8" s="1"/>
  <c r="AH46" i="8"/>
  <c r="AJ46" i="8" s="1"/>
  <c r="H46" i="8"/>
  <c r="AH45" i="8"/>
  <c r="AJ45" i="8" s="1"/>
  <c r="H45" i="8"/>
  <c r="AH44" i="8"/>
  <c r="AJ44" i="8" s="1"/>
  <c r="H44" i="8"/>
  <c r="AH43" i="8"/>
  <c r="H43" i="8"/>
  <c r="AH42" i="8"/>
  <c r="AJ42" i="8" s="1"/>
  <c r="H42" i="8"/>
  <c r="AH41" i="8"/>
  <c r="AJ41" i="8" s="1"/>
  <c r="H41" i="8"/>
  <c r="AH40" i="8"/>
  <c r="AJ40" i="8" s="1"/>
  <c r="H40" i="8"/>
  <c r="AH39" i="8"/>
  <c r="AJ39" i="8" s="1"/>
  <c r="H39" i="8"/>
  <c r="AE37" i="8"/>
  <c r="AC37" i="8"/>
  <c r="AB37" i="8"/>
  <c r="AA37" i="8"/>
  <c r="Z37" i="8"/>
  <c r="Y37" i="8"/>
  <c r="X37" i="8"/>
  <c r="W37" i="8"/>
  <c r="V37" i="8"/>
  <c r="U37" i="8"/>
  <c r="T37" i="8"/>
  <c r="S37" i="8"/>
  <c r="R37" i="8"/>
  <c r="P37" i="8"/>
  <c r="I37" i="8"/>
  <c r="AH36" i="8"/>
  <c r="AJ36" i="8" s="1"/>
  <c r="H36" i="8"/>
  <c r="AF37" i="8"/>
  <c r="I34" i="8"/>
  <c r="AH33" i="8"/>
  <c r="AJ33" i="8" s="1"/>
  <c r="AH32" i="8"/>
  <c r="AJ32" i="8" s="1"/>
  <c r="H32" i="8"/>
  <c r="AH67" i="8"/>
  <c r="AJ67" i="8" s="1"/>
  <c r="AH31" i="8"/>
  <c r="AJ31" i="8" s="1"/>
  <c r="AH30" i="8"/>
  <c r="AJ30" i="8" s="1"/>
  <c r="H30" i="8"/>
  <c r="AH29" i="8"/>
  <c r="AJ29" i="8" s="1"/>
  <c r="H29" i="8"/>
  <c r="AH28" i="8"/>
  <c r="AJ28" i="8" s="1"/>
  <c r="H28" i="8"/>
  <c r="AH27" i="8"/>
  <c r="AJ27" i="8" s="1"/>
  <c r="H27" i="8"/>
  <c r="AH26" i="8"/>
  <c r="AJ26" i="8" s="1"/>
  <c r="H26" i="8"/>
  <c r="AH25" i="8"/>
  <c r="AJ25" i="8" s="1"/>
  <c r="H25" i="8"/>
  <c r="AH24" i="8"/>
  <c r="AJ24" i="8" s="1"/>
  <c r="H24" i="8"/>
  <c r="AH23" i="8"/>
  <c r="AJ23" i="8" s="1"/>
  <c r="H23" i="8"/>
  <c r="AH22" i="8"/>
  <c r="AJ22" i="8" s="1"/>
  <c r="H22" i="8"/>
  <c r="AH21" i="8"/>
  <c r="AJ21" i="8" s="1"/>
  <c r="H21" i="8"/>
  <c r="AH20" i="8"/>
  <c r="AJ20" i="8" s="1"/>
  <c r="F20" i="8"/>
  <c r="AF18" i="8"/>
  <c r="AE18" i="8"/>
  <c r="AC18" i="8"/>
  <c r="AB18" i="8"/>
  <c r="AA18" i="8"/>
  <c r="Z18" i="8"/>
  <c r="Y18" i="8"/>
  <c r="X18" i="8"/>
  <c r="W18" i="8"/>
  <c r="V18" i="8"/>
  <c r="U18" i="8"/>
  <c r="T18" i="8"/>
  <c r="S18" i="8"/>
  <c r="R18" i="8"/>
  <c r="P18" i="8"/>
  <c r="I18" i="8"/>
  <c r="AH17" i="8"/>
  <c r="AJ17" i="8" s="1"/>
  <c r="M17" i="8"/>
  <c r="K17" i="8"/>
  <c r="H17" i="8"/>
  <c r="AH16" i="8"/>
  <c r="AJ16" i="8" s="1"/>
  <c r="M16" i="8"/>
  <c r="K16" i="8"/>
  <c r="H16" i="8"/>
  <c r="AH15" i="8"/>
  <c r="AJ15" i="8" s="1"/>
  <c r="M15" i="8"/>
  <c r="K15" i="8"/>
  <c r="H15" i="8"/>
  <c r="AF13" i="8"/>
  <c r="AE13" i="8"/>
  <c r="AC13" i="8"/>
  <c r="AB13" i="8"/>
  <c r="AA13" i="8"/>
  <c r="Z13" i="8"/>
  <c r="Y13" i="8"/>
  <c r="X13" i="8"/>
  <c r="W13" i="8"/>
  <c r="V13" i="8"/>
  <c r="U13" i="8"/>
  <c r="T13" i="8"/>
  <c r="S13" i="8"/>
  <c r="R13" i="8"/>
  <c r="P13" i="8"/>
  <c r="I13" i="8"/>
  <c r="AH12" i="8"/>
  <c r="AJ12" i="8" s="1"/>
  <c r="H12" i="8"/>
  <c r="AH11" i="8"/>
  <c r="AJ11" i="8" s="1"/>
  <c r="H11" i="8"/>
  <c r="AH10" i="8"/>
  <c r="AJ10" i="8" s="1"/>
  <c r="H10" i="8"/>
  <c r="AH9" i="8"/>
  <c r="AJ9" i="8" s="1"/>
  <c r="H9" i="8"/>
  <c r="AH8" i="8"/>
  <c r="AJ8" i="8" s="1"/>
  <c r="H8" i="8"/>
  <c r="AH7" i="8"/>
  <c r="AJ7" i="8" s="1"/>
  <c r="H7" i="8"/>
  <c r="AH6" i="8"/>
  <c r="AJ6" i="8" s="1"/>
  <c r="AH5" i="8"/>
  <c r="AJ5" i="8" s="1"/>
  <c r="G5" i="8"/>
  <c r="F5" i="8"/>
  <c r="AH4" i="8"/>
  <c r="AJ4" i="8" s="1"/>
  <c r="G4" i="8"/>
  <c r="F4" i="8"/>
  <c r="I99" i="7"/>
  <c r="AH61" i="7"/>
  <c r="AJ61" i="7" s="1"/>
  <c r="AH62" i="7"/>
  <c r="AJ62" i="7" s="1"/>
  <c r="AF97" i="7"/>
  <c r="AE97" i="7"/>
  <c r="S97" i="7"/>
  <c r="T97" i="7"/>
  <c r="U97" i="7"/>
  <c r="AC97" i="7"/>
  <c r="R97" i="7"/>
  <c r="P97" i="7"/>
  <c r="I97" i="7"/>
  <c r="AH77" i="7"/>
  <c r="AJ77" i="7" s="1"/>
  <c r="AH78" i="7"/>
  <c r="AJ78" i="7" s="1"/>
  <c r="AH79" i="7"/>
  <c r="AJ79" i="7" s="1"/>
  <c r="AH80" i="7"/>
  <c r="AJ80" i="7" s="1"/>
  <c r="AH81" i="7"/>
  <c r="AJ81" i="7" s="1"/>
  <c r="AH82" i="7"/>
  <c r="AJ82" i="7" s="1"/>
  <c r="AH83" i="7"/>
  <c r="AJ83" i="7" s="1"/>
  <c r="AH84" i="7"/>
  <c r="AJ84" i="7" s="1"/>
  <c r="AH85" i="7"/>
  <c r="AJ85" i="7" s="1"/>
  <c r="AH86" i="7"/>
  <c r="AJ86" i="7" s="1"/>
  <c r="AH87" i="7"/>
  <c r="AJ87" i="7" s="1"/>
  <c r="AH88" i="7"/>
  <c r="AH89" i="7"/>
  <c r="AJ89" i="7" s="1"/>
  <c r="AH90" i="7"/>
  <c r="AJ90" i="7" s="1"/>
  <c r="AH91" i="7"/>
  <c r="AJ91" i="7" s="1"/>
  <c r="AH92" i="7"/>
  <c r="AJ92" i="7" s="1"/>
  <c r="AH93" i="7"/>
  <c r="AJ93" i="7" s="1"/>
  <c r="AH94" i="7"/>
  <c r="AJ94" i="7" s="1"/>
  <c r="AH95" i="7"/>
  <c r="AJ95" i="7" s="1"/>
  <c r="AH96" i="7"/>
  <c r="AJ96" i="7" s="1"/>
  <c r="AH74" i="7"/>
  <c r="AJ74" i="7" s="1"/>
  <c r="AJ88" i="7"/>
  <c r="AH57" i="7"/>
  <c r="AJ57" i="7" s="1"/>
  <c r="AH68" i="7"/>
  <c r="AJ68" i="7" s="1"/>
  <c r="AH65" i="7"/>
  <c r="AJ65" i="7" s="1"/>
  <c r="AH49" i="7"/>
  <c r="AJ49" i="7" s="1"/>
  <c r="AH44" i="7"/>
  <c r="AJ44" i="7" s="1"/>
  <c r="AH34" i="7"/>
  <c r="AJ34" i="7" s="1"/>
  <c r="AH33" i="7"/>
  <c r="AJ33" i="7" s="1"/>
  <c r="AH32" i="7"/>
  <c r="AJ32" i="7" s="1"/>
  <c r="AH30" i="7"/>
  <c r="AH31" i="7"/>
  <c r="AH35" i="7"/>
  <c r="AJ35" i="7" s="1"/>
  <c r="AH41" i="7"/>
  <c r="AJ41" i="7" s="1"/>
  <c r="H41" i="7"/>
  <c r="H4" i="8" l="1"/>
  <c r="N16" i="8"/>
  <c r="Y97" i="8"/>
  <c r="N17" i="8"/>
  <c r="AH63" i="8"/>
  <c r="AJ63" i="8" s="1"/>
  <c r="R121" i="8"/>
  <c r="R122" i="8" s="1"/>
  <c r="AA97" i="8"/>
  <c r="H5" i="8"/>
  <c r="AH59" i="8"/>
  <c r="AJ59" i="8" s="1"/>
  <c r="AH34" i="8"/>
  <c r="AJ34" i="8" s="1"/>
  <c r="AH18" i="8"/>
  <c r="AJ18" i="8" s="1"/>
  <c r="AH37" i="8"/>
  <c r="AJ37" i="8" s="1"/>
  <c r="N15" i="8"/>
  <c r="AH13" i="8"/>
  <c r="AJ13" i="8" s="1"/>
  <c r="W97" i="8"/>
  <c r="AE121" i="8" l="1"/>
  <c r="AH97" i="8"/>
  <c r="AJ97" i="8" s="1"/>
  <c r="H68" i="7" l="1"/>
  <c r="H44" i="7" l="1"/>
  <c r="R20" i="1" l="1"/>
  <c r="Q10" i="1"/>
  <c r="Q38" i="1"/>
  <c r="R36" i="1"/>
  <c r="R48" i="1"/>
  <c r="R49" i="1"/>
  <c r="R37" i="1"/>
  <c r="R50" i="1"/>
  <c r="R40" i="1"/>
  <c r="R34" i="1"/>
  <c r="Q33" i="1"/>
  <c r="R33" i="1" s="1"/>
  <c r="R35" i="1"/>
  <c r="Q15" i="1"/>
  <c r="Q31" i="1"/>
  <c r="R120" i="7"/>
  <c r="R117" i="7"/>
  <c r="R113" i="7"/>
  <c r="AE108" i="7"/>
  <c r="AC108" i="7"/>
  <c r="AC121" i="7" s="1"/>
  <c r="AB108" i="7"/>
  <c r="AB121" i="7" s="1"/>
  <c r="AA108" i="7"/>
  <c r="AA121" i="7" s="1"/>
  <c r="Z108" i="7"/>
  <c r="Z121" i="7" s="1"/>
  <c r="Y108" i="7"/>
  <c r="Y121" i="7" s="1"/>
  <c r="X108" i="7"/>
  <c r="X121" i="7" s="1"/>
  <c r="W108" i="7"/>
  <c r="W121" i="7" s="1"/>
  <c r="V108" i="7"/>
  <c r="V121" i="7" s="1"/>
  <c r="U108" i="7"/>
  <c r="U121" i="7" s="1"/>
  <c r="T108" i="7"/>
  <c r="T121" i="7" s="1"/>
  <c r="S108" i="7"/>
  <c r="S121" i="7" s="1"/>
  <c r="R108" i="7"/>
  <c r="R109" i="7" s="1"/>
  <c r="AE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R105" i="7" s="1"/>
  <c r="L99" i="7"/>
  <c r="J99" i="7"/>
  <c r="AJ98" i="7"/>
  <c r="AH76" i="7"/>
  <c r="AJ76" i="7" s="1"/>
  <c r="AH75" i="7"/>
  <c r="AJ75" i="7" s="1"/>
  <c r="AH73" i="7"/>
  <c r="AJ73" i="7" s="1"/>
  <c r="AH72" i="7"/>
  <c r="AJ72" i="7" s="1"/>
  <c r="AH71" i="7"/>
  <c r="AJ71" i="7" s="1"/>
  <c r="AH70" i="7"/>
  <c r="AJ70" i="7" s="1"/>
  <c r="AH69" i="7"/>
  <c r="AJ69" i="7" s="1"/>
  <c r="AH60" i="7"/>
  <c r="AJ59" i="7"/>
  <c r="AF58" i="7"/>
  <c r="AE58" i="7"/>
  <c r="AC58" i="7"/>
  <c r="AB58" i="7"/>
  <c r="AA58" i="7"/>
  <c r="Z58" i="7"/>
  <c r="Y58" i="7"/>
  <c r="X58" i="7"/>
  <c r="W58" i="7"/>
  <c r="V58" i="7"/>
  <c r="U58" i="7"/>
  <c r="T58" i="7"/>
  <c r="S58" i="7"/>
  <c r="R58" i="7"/>
  <c r="P58" i="7"/>
  <c r="AH51" i="7"/>
  <c r="AH56" i="7"/>
  <c r="AH55" i="7"/>
  <c r="AH54" i="7"/>
  <c r="AH53" i="7"/>
  <c r="AH52" i="7"/>
  <c r="AH50" i="7"/>
  <c r="AH48" i="7"/>
  <c r="AH47" i="7"/>
  <c r="AH46" i="7"/>
  <c r="AH45" i="7"/>
  <c r="AH43" i="7"/>
  <c r="AH42" i="7"/>
  <c r="AJ40" i="7"/>
  <c r="AE39" i="7"/>
  <c r="AC39" i="7"/>
  <c r="AB39" i="7"/>
  <c r="AA39" i="7"/>
  <c r="Z39" i="7"/>
  <c r="Y39" i="7"/>
  <c r="X39" i="7"/>
  <c r="S39" i="7"/>
  <c r="R39" i="7"/>
  <c r="P39" i="7"/>
  <c r="W39" i="7"/>
  <c r="V39" i="7"/>
  <c r="U39" i="7"/>
  <c r="T38" i="7"/>
  <c r="T39" i="7" s="1"/>
  <c r="AJ37" i="7"/>
  <c r="AJ31" i="7"/>
  <c r="AH26" i="7"/>
  <c r="AH25" i="7"/>
  <c r="AH29" i="7"/>
  <c r="AH28" i="7"/>
  <c r="AH27" i="7"/>
  <c r="AH24" i="7"/>
  <c r="AH23" i="7"/>
  <c r="AH22" i="7"/>
  <c r="AH21" i="7"/>
  <c r="AH20" i="7"/>
  <c r="F20" i="7"/>
  <c r="AJ19" i="7"/>
  <c r="AF18" i="7"/>
  <c r="AE18" i="7"/>
  <c r="AC18" i="7"/>
  <c r="AB18" i="7"/>
  <c r="AA18" i="7"/>
  <c r="Z18" i="7"/>
  <c r="Y18" i="7"/>
  <c r="X18" i="7"/>
  <c r="W18" i="7"/>
  <c r="V18" i="7"/>
  <c r="U18" i="7"/>
  <c r="T18" i="7"/>
  <c r="S18" i="7"/>
  <c r="R18" i="7"/>
  <c r="P18" i="7"/>
  <c r="AH17" i="7"/>
  <c r="K17" i="7"/>
  <c r="H17" i="7"/>
  <c r="AH16" i="7"/>
  <c r="H16" i="7"/>
  <c r="AH15" i="7"/>
  <c r="K15" i="7"/>
  <c r="H15" i="7"/>
  <c r="AJ14" i="7"/>
  <c r="AF13" i="7"/>
  <c r="AE13" i="7"/>
  <c r="AC13" i="7"/>
  <c r="R13" i="7"/>
  <c r="P13" i="7"/>
  <c r="AH12" i="7"/>
  <c r="AB67" i="7"/>
  <c r="AA67" i="7"/>
  <c r="Z67" i="7"/>
  <c r="Y67" i="7"/>
  <c r="X67" i="7"/>
  <c r="W67" i="7"/>
  <c r="AH66" i="7"/>
  <c r="AJ66" i="7" s="1"/>
  <c r="T13" i="7"/>
  <c r="S13" i="7"/>
  <c r="AH64" i="7"/>
  <c r="AH10" i="7"/>
  <c r="AH7" i="7"/>
  <c r="AA63" i="7"/>
  <c r="Z63" i="7"/>
  <c r="Y63" i="7"/>
  <c r="X63" i="7"/>
  <c r="W63" i="7"/>
  <c r="W97" i="7" s="1"/>
  <c r="V63" i="7"/>
  <c r="V97" i="7" s="1"/>
  <c r="F63" i="7"/>
  <c r="H63" i="7" s="1"/>
  <c r="AH6" i="7"/>
  <c r="AH5" i="7"/>
  <c r="G5" i="7"/>
  <c r="F5" i="7"/>
  <c r="AH4" i="7"/>
  <c r="G4" i="7"/>
  <c r="F4" i="7"/>
  <c r="R74" i="6"/>
  <c r="S74" i="6"/>
  <c r="AE81" i="6"/>
  <c r="S81" i="6"/>
  <c r="T81" i="6"/>
  <c r="U81" i="6"/>
  <c r="V81" i="6"/>
  <c r="W81" i="6"/>
  <c r="X81" i="6"/>
  <c r="Y81" i="6"/>
  <c r="Z81" i="6"/>
  <c r="AA81" i="6"/>
  <c r="AB81" i="6"/>
  <c r="AC81" i="6"/>
  <c r="R81" i="6"/>
  <c r="AA97" i="7" l="1"/>
  <c r="AB13" i="7"/>
  <c r="AB97" i="7"/>
  <c r="X97" i="7"/>
  <c r="Y97" i="7"/>
  <c r="Z97" i="7"/>
  <c r="U13" i="7"/>
  <c r="AJ28" i="7"/>
  <c r="AJ16" i="7"/>
  <c r="AJ47" i="7"/>
  <c r="AJ60" i="7"/>
  <c r="AJ23" i="7"/>
  <c r="AJ29" i="7"/>
  <c r="AJ64" i="7"/>
  <c r="AJ12" i="7"/>
  <c r="AH9" i="7"/>
  <c r="AJ9" i="7" s="1"/>
  <c r="AJ24" i="7"/>
  <c r="AJ21" i="7"/>
  <c r="AJ5" i="7"/>
  <c r="V13" i="7"/>
  <c r="AJ7" i="7"/>
  <c r="AJ10" i="7"/>
  <c r="AJ26" i="7"/>
  <c r="AJ25" i="7"/>
  <c r="AJ51" i="7"/>
  <c r="AH67" i="7"/>
  <c r="AJ67" i="7" s="1"/>
  <c r="AH11" i="7"/>
  <c r="AJ11" i="7" s="1"/>
  <c r="W13" i="7"/>
  <c r="AH63" i="7"/>
  <c r="AJ63" i="7" s="1"/>
  <c r="AJ22" i="7"/>
  <c r="AJ27" i="7"/>
  <c r="AJ48" i="7"/>
  <c r="AJ52" i="7"/>
  <c r="AH8" i="7"/>
  <c r="AJ8" i="7" s="1"/>
  <c r="AA13" i="7"/>
  <c r="AJ30" i="7"/>
  <c r="AH58" i="7"/>
  <c r="AJ6" i="7"/>
  <c r="AJ42" i="7"/>
  <c r="AJ53" i="7"/>
  <c r="AJ55" i="7"/>
  <c r="M17" i="7"/>
  <c r="N17" i="7" s="1"/>
  <c r="I58" i="7"/>
  <c r="H76" i="7"/>
  <c r="H21" i="7"/>
  <c r="AJ54" i="7"/>
  <c r="AJ56" i="7"/>
  <c r="H4" i="7"/>
  <c r="AJ43" i="7"/>
  <c r="AJ50" i="7"/>
  <c r="AJ46" i="7"/>
  <c r="I13" i="7"/>
  <c r="AJ45" i="7"/>
  <c r="M16" i="7"/>
  <c r="X13" i="7"/>
  <c r="I39" i="7"/>
  <c r="Y13" i="7"/>
  <c r="AH18" i="7"/>
  <c r="AH38" i="7"/>
  <c r="AJ38" i="7" s="1"/>
  <c r="H5" i="7"/>
  <c r="AJ15" i="7"/>
  <c r="I18" i="7"/>
  <c r="Z13" i="7"/>
  <c r="M15" i="7"/>
  <c r="AJ4" i="7"/>
  <c r="K16" i="7"/>
  <c r="H42" i="7"/>
  <c r="AJ17" i="7"/>
  <c r="AJ20" i="7"/>
  <c r="R121" i="7"/>
  <c r="AE121" i="7" s="1"/>
  <c r="Z98" i="6"/>
  <c r="R94" i="6"/>
  <c r="R82" i="6"/>
  <c r="R90" i="6"/>
  <c r="R97" i="6"/>
  <c r="S85" i="6"/>
  <c r="S98" i="6" s="1"/>
  <c r="T85" i="6"/>
  <c r="T98" i="6" s="1"/>
  <c r="U85" i="6"/>
  <c r="U98" i="6" s="1"/>
  <c r="V85" i="6"/>
  <c r="V98" i="6" s="1"/>
  <c r="W85" i="6"/>
  <c r="W98" i="6" s="1"/>
  <c r="X85" i="6"/>
  <c r="X98" i="6" s="1"/>
  <c r="Y85" i="6"/>
  <c r="Y98" i="6" s="1"/>
  <c r="Z85" i="6"/>
  <c r="AA85" i="6"/>
  <c r="AA98" i="6" s="1"/>
  <c r="AB85" i="6"/>
  <c r="AB98" i="6" s="1"/>
  <c r="AC85" i="6"/>
  <c r="AC98" i="6" s="1"/>
  <c r="AE85" i="6"/>
  <c r="R85" i="6"/>
  <c r="R98" i="6" s="1"/>
  <c r="AH97" i="7" l="1"/>
  <c r="AJ97" i="7" s="1"/>
  <c r="R122" i="7"/>
  <c r="AJ58" i="7"/>
  <c r="AJ18" i="7"/>
  <c r="N16" i="7"/>
  <c r="M99" i="7"/>
  <c r="AH13" i="7"/>
  <c r="AJ13" i="7" s="1"/>
  <c r="K99" i="7"/>
  <c r="N15" i="7"/>
  <c r="AE98" i="6"/>
  <c r="N99" i="7" l="1"/>
  <c r="R9" i="1"/>
  <c r="R99" i="6" l="1"/>
  <c r="R86" i="6"/>
  <c r="A48" i="6"/>
  <c r="B48" i="6"/>
  <c r="A49" i="6"/>
  <c r="B49" i="6"/>
  <c r="A50" i="6"/>
  <c r="B50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B47" i="6"/>
  <c r="A47" i="6"/>
  <c r="B46" i="6"/>
  <c r="A46" i="6"/>
  <c r="AF41" i="6"/>
  <c r="AE41" i="6"/>
  <c r="S41" i="6"/>
  <c r="T41" i="6"/>
  <c r="U41" i="6"/>
  <c r="V41" i="6"/>
  <c r="W41" i="6"/>
  <c r="X41" i="6"/>
  <c r="Y41" i="6"/>
  <c r="Z41" i="6"/>
  <c r="AA41" i="6"/>
  <c r="AB41" i="6"/>
  <c r="AC41" i="6"/>
  <c r="R41" i="6"/>
  <c r="P41" i="6"/>
  <c r="G40" i="6"/>
  <c r="I40" i="6"/>
  <c r="I39" i="6"/>
  <c r="F40" i="6"/>
  <c r="B40" i="6"/>
  <c r="A40" i="6"/>
  <c r="G39" i="6"/>
  <c r="F39" i="6"/>
  <c r="B39" i="6"/>
  <c r="A39" i="6"/>
  <c r="AH40" i="6"/>
  <c r="AH39" i="6"/>
  <c r="AJ38" i="6"/>
  <c r="G46" i="6"/>
  <c r="F46" i="6"/>
  <c r="AH46" i="6"/>
  <c r="I46" i="6"/>
  <c r="I41" i="6" l="1"/>
  <c r="H46" i="6"/>
  <c r="AH41" i="6"/>
  <c r="AJ39" i="6"/>
  <c r="AJ40" i="6"/>
  <c r="H40" i="6"/>
  <c r="H39" i="6"/>
  <c r="AJ46" i="6"/>
  <c r="AJ18" i="6"/>
  <c r="AJ23" i="6"/>
  <c r="AJ42" i="6"/>
  <c r="AJ45" i="6"/>
  <c r="AJ63" i="6"/>
  <c r="L76" i="6"/>
  <c r="J76" i="6"/>
  <c r="AH75" i="6"/>
  <c r="AJ75" i="6" s="1"/>
  <c r="AF74" i="6"/>
  <c r="AE74" i="6"/>
  <c r="AC74" i="6"/>
  <c r="AB74" i="6"/>
  <c r="AA74" i="6"/>
  <c r="Z74" i="6"/>
  <c r="Y74" i="6"/>
  <c r="X74" i="6"/>
  <c r="W74" i="6"/>
  <c r="V74" i="6"/>
  <c r="U74" i="6"/>
  <c r="P74" i="6"/>
  <c r="AH73" i="6"/>
  <c r="I73" i="6"/>
  <c r="B73" i="6"/>
  <c r="A73" i="6"/>
  <c r="AH72" i="6"/>
  <c r="I72" i="6"/>
  <c r="AH71" i="6"/>
  <c r="I71" i="6"/>
  <c r="T70" i="6"/>
  <c r="T74" i="6" s="1"/>
  <c r="I70" i="6"/>
  <c r="AH69" i="6"/>
  <c r="I69" i="6"/>
  <c r="AH68" i="6"/>
  <c r="I68" i="6"/>
  <c r="F68" i="6"/>
  <c r="AH67" i="6"/>
  <c r="I67" i="6"/>
  <c r="AH66" i="6"/>
  <c r="I66" i="6"/>
  <c r="AH65" i="6"/>
  <c r="I65" i="6"/>
  <c r="AJ65" i="6" s="1"/>
  <c r="AH64" i="6"/>
  <c r="I64" i="6"/>
  <c r="AF62" i="6"/>
  <c r="AE62" i="6"/>
  <c r="AC62" i="6"/>
  <c r="AB62" i="6"/>
  <c r="AA62" i="6"/>
  <c r="Z62" i="6"/>
  <c r="Y62" i="6"/>
  <c r="X62" i="6"/>
  <c r="W62" i="6"/>
  <c r="V62" i="6"/>
  <c r="U62" i="6"/>
  <c r="T62" i="6"/>
  <c r="S62" i="6"/>
  <c r="R62" i="6"/>
  <c r="P62" i="6"/>
  <c r="AH61" i="6"/>
  <c r="I61" i="6"/>
  <c r="AH60" i="6"/>
  <c r="I60" i="6"/>
  <c r="AH59" i="6"/>
  <c r="I59" i="6"/>
  <c r="AH58" i="6"/>
  <c r="I58" i="6"/>
  <c r="AH57" i="6"/>
  <c r="I57" i="6"/>
  <c r="AH56" i="6"/>
  <c r="I56" i="6"/>
  <c r="AH55" i="6"/>
  <c r="I55" i="6"/>
  <c r="AH54" i="6"/>
  <c r="I54" i="6"/>
  <c r="AJ54" i="6" s="1"/>
  <c r="AH53" i="6"/>
  <c r="I53" i="6"/>
  <c r="AH52" i="6"/>
  <c r="I52" i="6"/>
  <c r="AH51" i="6"/>
  <c r="I51" i="6"/>
  <c r="F51" i="6"/>
  <c r="AH50" i="6"/>
  <c r="I50" i="6"/>
  <c r="AH49" i="6"/>
  <c r="I49" i="6"/>
  <c r="AH48" i="6"/>
  <c r="I48" i="6"/>
  <c r="F48" i="6"/>
  <c r="AH47" i="6"/>
  <c r="I47" i="6"/>
  <c r="AE44" i="6"/>
  <c r="AC44" i="6"/>
  <c r="AB44" i="6"/>
  <c r="AA44" i="6"/>
  <c r="Z44" i="6"/>
  <c r="Y44" i="6"/>
  <c r="X44" i="6"/>
  <c r="S44" i="6"/>
  <c r="R44" i="6"/>
  <c r="P44" i="6"/>
  <c r="W43" i="6"/>
  <c r="W44" i="6" s="1"/>
  <c r="V43" i="6"/>
  <c r="U43" i="6"/>
  <c r="U44" i="6" s="1"/>
  <c r="T43" i="6"/>
  <c r="T44" i="6" s="1"/>
  <c r="I43" i="6"/>
  <c r="I44" i="6" s="1"/>
  <c r="F43" i="6"/>
  <c r="B43" i="6"/>
  <c r="A43" i="6"/>
  <c r="AF37" i="6"/>
  <c r="AF44" i="6" s="1"/>
  <c r="AE37" i="6"/>
  <c r="AC37" i="6"/>
  <c r="AB37" i="6"/>
  <c r="AA37" i="6"/>
  <c r="Z37" i="6"/>
  <c r="Y37" i="6"/>
  <c r="X37" i="6"/>
  <c r="W37" i="6"/>
  <c r="V37" i="6"/>
  <c r="U37" i="6"/>
  <c r="T37" i="6"/>
  <c r="S37" i="6"/>
  <c r="R37" i="6"/>
  <c r="P37" i="6"/>
  <c r="AH36" i="6"/>
  <c r="I36" i="6"/>
  <c r="AH35" i="6"/>
  <c r="AJ35" i="6" s="1"/>
  <c r="AH34" i="6"/>
  <c r="I34" i="6"/>
  <c r="F34" i="6"/>
  <c r="AH33" i="6"/>
  <c r="I33" i="6"/>
  <c r="F33" i="6"/>
  <c r="AH32" i="6"/>
  <c r="I32" i="6"/>
  <c r="AH31" i="6"/>
  <c r="I31" i="6"/>
  <c r="AH30" i="6"/>
  <c r="I30" i="6"/>
  <c r="AH29" i="6"/>
  <c r="I29" i="6"/>
  <c r="AH28" i="6"/>
  <c r="I28" i="6"/>
  <c r="AH27" i="6"/>
  <c r="I27" i="6"/>
  <c r="AH26" i="6"/>
  <c r="I26" i="6"/>
  <c r="AH25" i="6"/>
  <c r="I25" i="6"/>
  <c r="G25" i="6"/>
  <c r="F25" i="6"/>
  <c r="AH24" i="6"/>
  <c r="F24" i="6"/>
  <c r="AF22" i="6"/>
  <c r="AE22" i="6"/>
  <c r="AC22" i="6"/>
  <c r="AB22" i="6"/>
  <c r="AA22" i="6"/>
  <c r="Z22" i="6"/>
  <c r="Y22" i="6"/>
  <c r="X22" i="6"/>
  <c r="W22" i="6"/>
  <c r="V22" i="6"/>
  <c r="U22" i="6"/>
  <c r="T22" i="6"/>
  <c r="S22" i="6"/>
  <c r="R22" i="6"/>
  <c r="P22" i="6"/>
  <c r="AH21" i="6"/>
  <c r="H21" i="6"/>
  <c r="AH20" i="6"/>
  <c r="I20" i="6"/>
  <c r="K20" i="6" s="1"/>
  <c r="H20" i="6"/>
  <c r="AH19" i="6"/>
  <c r="I19" i="6"/>
  <c r="M19" i="6" s="1"/>
  <c r="F19" i="6"/>
  <c r="H19" i="6" s="1"/>
  <c r="AF17" i="6"/>
  <c r="AE17" i="6"/>
  <c r="AC17" i="6"/>
  <c r="R17" i="6"/>
  <c r="P17" i="6"/>
  <c r="AH16" i="6"/>
  <c r="I16" i="6"/>
  <c r="AB15" i="6"/>
  <c r="AA15" i="6"/>
  <c r="Z15" i="6"/>
  <c r="Y15" i="6"/>
  <c r="X15" i="6"/>
  <c r="W15" i="6"/>
  <c r="I15" i="6"/>
  <c r="AH14" i="6"/>
  <c r="I14" i="6"/>
  <c r="X13" i="6"/>
  <c r="W13" i="6"/>
  <c r="V13" i="6"/>
  <c r="U13" i="6"/>
  <c r="T13" i="6"/>
  <c r="T17" i="6" s="1"/>
  <c r="S13" i="6"/>
  <c r="I13" i="6"/>
  <c r="AH12" i="6"/>
  <c r="I12" i="6"/>
  <c r="AJ12" i="6" s="1"/>
  <c r="AH11" i="6"/>
  <c r="I11" i="6"/>
  <c r="W10" i="6"/>
  <c r="V10" i="6"/>
  <c r="U10" i="6"/>
  <c r="I10" i="6"/>
  <c r="W9" i="6"/>
  <c r="V9" i="6"/>
  <c r="U9" i="6"/>
  <c r="I9" i="6"/>
  <c r="AH8" i="6"/>
  <c r="I8" i="6"/>
  <c r="AA7" i="6"/>
  <c r="Z7" i="6"/>
  <c r="Z17" i="6" s="1"/>
  <c r="Y7" i="6"/>
  <c r="Y17" i="6" s="1"/>
  <c r="X7" i="6"/>
  <c r="W7" i="6"/>
  <c r="V7" i="6"/>
  <c r="I7" i="6"/>
  <c r="F7" i="6"/>
  <c r="AH6" i="6"/>
  <c r="I6" i="6"/>
  <c r="AH5" i="6"/>
  <c r="I5" i="6"/>
  <c r="G5" i="6"/>
  <c r="F5" i="6"/>
  <c r="AH4" i="6"/>
  <c r="I4" i="6"/>
  <c r="G4" i="6"/>
  <c r="F4" i="6"/>
  <c r="V16" i="1"/>
  <c r="V18" i="1"/>
  <c r="V9" i="1"/>
  <c r="G25" i="5"/>
  <c r="G4" i="5"/>
  <c r="AE69" i="5"/>
  <c r="G24" i="6"/>
  <c r="I24" i="5"/>
  <c r="I21" i="6"/>
  <c r="M21" i="6" s="1"/>
  <c r="T39" i="1"/>
  <c r="R39" i="1"/>
  <c r="T38" i="1"/>
  <c r="F63" i="5"/>
  <c r="I12" i="5"/>
  <c r="I60" i="5"/>
  <c r="I61" i="5"/>
  <c r="I14" i="5"/>
  <c r="I15" i="5"/>
  <c r="I62" i="5"/>
  <c r="I63" i="5"/>
  <c r="I64" i="5"/>
  <c r="I65" i="5"/>
  <c r="I66" i="5"/>
  <c r="I67" i="5"/>
  <c r="I68" i="5"/>
  <c r="I59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42" i="5"/>
  <c r="F43" i="5"/>
  <c r="J72" i="5"/>
  <c r="L72" i="5"/>
  <c r="AC17" i="5"/>
  <c r="S22" i="5"/>
  <c r="T22" i="5"/>
  <c r="U22" i="5"/>
  <c r="V22" i="5"/>
  <c r="W22" i="5"/>
  <c r="X22" i="5"/>
  <c r="Y22" i="5"/>
  <c r="Z22" i="5"/>
  <c r="AA22" i="5"/>
  <c r="AB22" i="5"/>
  <c r="AC22" i="5"/>
  <c r="S37" i="5"/>
  <c r="T37" i="5"/>
  <c r="U37" i="5"/>
  <c r="V37" i="5"/>
  <c r="W37" i="5"/>
  <c r="X37" i="5"/>
  <c r="Y37" i="5"/>
  <c r="Z37" i="5"/>
  <c r="AA37" i="5"/>
  <c r="AB37" i="5"/>
  <c r="AC37" i="5"/>
  <c r="S40" i="5"/>
  <c r="X40" i="5"/>
  <c r="Y40" i="5"/>
  <c r="Z40" i="5"/>
  <c r="AA40" i="5"/>
  <c r="AB40" i="5"/>
  <c r="AC40" i="5"/>
  <c r="S57" i="5"/>
  <c r="T57" i="5"/>
  <c r="U57" i="5"/>
  <c r="V57" i="5"/>
  <c r="W57" i="5"/>
  <c r="X57" i="5"/>
  <c r="Y57" i="5"/>
  <c r="Z57" i="5"/>
  <c r="AA57" i="5"/>
  <c r="AB57" i="5"/>
  <c r="AC57" i="5"/>
  <c r="S69" i="5"/>
  <c r="U69" i="5"/>
  <c r="V69" i="5"/>
  <c r="AC69" i="5"/>
  <c r="R37" i="5"/>
  <c r="P69" i="5"/>
  <c r="AH70" i="5"/>
  <c r="AH71" i="5"/>
  <c r="AH67" i="5"/>
  <c r="AF57" i="5"/>
  <c r="AE57" i="5"/>
  <c r="P57" i="5"/>
  <c r="AH66" i="5"/>
  <c r="AH68" i="5"/>
  <c r="B68" i="5"/>
  <c r="A68" i="5"/>
  <c r="P37" i="5"/>
  <c r="AH27" i="5"/>
  <c r="AF17" i="5"/>
  <c r="AE17" i="5"/>
  <c r="AE40" i="5"/>
  <c r="R40" i="5"/>
  <c r="P40" i="5"/>
  <c r="P22" i="5"/>
  <c r="P17" i="5"/>
  <c r="T13" i="5"/>
  <c r="U13" i="5"/>
  <c r="V13" i="5"/>
  <c r="W13" i="5"/>
  <c r="X13" i="5"/>
  <c r="S13" i="5"/>
  <c r="V7" i="5"/>
  <c r="W7" i="5"/>
  <c r="X7" i="5"/>
  <c r="Y7" i="5"/>
  <c r="Z7" i="5"/>
  <c r="AA7" i="5"/>
  <c r="W39" i="5"/>
  <c r="W40" i="5" s="1"/>
  <c r="V39" i="5"/>
  <c r="V40" i="5" s="1"/>
  <c r="U39" i="5"/>
  <c r="U40" i="5" s="1"/>
  <c r="T39" i="5"/>
  <c r="T40" i="5" s="1"/>
  <c r="I39" i="5"/>
  <c r="I40" i="5" s="1"/>
  <c r="F39" i="5"/>
  <c r="B39" i="5"/>
  <c r="A39" i="5"/>
  <c r="I36" i="5"/>
  <c r="I25" i="5"/>
  <c r="I26" i="5"/>
  <c r="I27" i="5"/>
  <c r="I28" i="5"/>
  <c r="I29" i="5"/>
  <c r="I30" i="5"/>
  <c r="I31" i="5"/>
  <c r="I32" i="5"/>
  <c r="I33" i="5"/>
  <c r="I34" i="5"/>
  <c r="F25" i="5"/>
  <c r="F24" i="5"/>
  <c r="F5" i="5"/>
  <c r="G5" i="5"/>
  <c r="F7" i="5"/>
  <c r="I20" i="5"/>
  <c r="I19" i="5"/>
  <c r="I5" i="5"/>
  <c r="I6" i="5"/>
  <c r="I7" i="5"/>
  <c r="I8" i="5"/>
  <c r="I9" i="5"/>
  <c r="I10" i="5"/>
  <c r="I11" i="5"/>
  <c r="I13" i="5"/>
  <c r="I16" i="5"/>
  <c r="I4" i="5"/>
  <c r="F4" i="5"/>
  <c r="F19" i="5"/>
  <c r="U7" i="1"/>
  <c r="U8" i="1"/>
  <c r="T10" i="1"/>
  <c r="V10" i="1" s="1"/>
  <c r="G24" i="5" l="1"/>
  <c r="I24" i="6"/>
  <c r="AJ24" i="6" s="1"/>
  <c r="I21" i="5"/>
  <c r="K21" i="5" s="1"/>
  <c r="G28" i="11"/>
  <c r="H28" i="11" s="1"/>
  <c r="G23" i="9"/>
  <c r="H23" i="9" s="1"/>
  <c r="G20" i="8"/>
  <c r="H20" i="8" s="1"/>
  <c r="G20" i="7"/>
  <c r="H20" i="7" s="1"/>
  <c r="AJ41" i="6"/>
  <c r="F35" i="6"/>
  <c r="F31" i="6"/>
  <c r="F32" i="6"/>
  <c r="F28" i="5"/>
  <c r="F28" i="6"/>
  <c r="F46" i="5"/>
  <c r="F26" i="5"/>
  <c r="AF76" i="6"/>
  <c r="R76" i="6"/>
  <c r="AA17" i="6"/>
  <c r="AA76" i="6" s="1"/>
  <c r="AA78" i="6" s="1"/>
  <c r="X17" i="6"/>
  <c r="X76" i="6" s="1"/>
  <c r="X78" i="6" s="1"/>
  <c r="AE76" i="6"/>
  <c r="AJ4" i="6"/>
  <c r="Z76" i="6"/>
  <c r="Z78" i="6" s="1"/>
  <c r="P76" i="6"/>
  <c r="P78" i="6" s="1"/>
  <c r="AC76" i="6"/>
  <c r="AC78" i="6" s="1"/>
  <c r="AH15" i="6"/>
  <c r="AJ15" i="6" s="1"/>
  <c r="T76" i="6"/>
  <c r="T78" i="6" s="1"/>
  <c r="Y76" i="6"/>
  <c r="Y78" i="6" s="1"/>
  <c r="AJ36" i="6"/>
  <c r="H5" i="6"/>
  <c r="F26" i="6"/>
  <c r="AJ71" i="6"/>
  <c r="R78" i="6"/>
  <c r="AJ51" i="6"/>
  <c r="H24" i="6"/>
  <c r="AJ32" i="6"/>
  <c r="AJ67" i="6"/>
  <c r="AJ53" i="6"/>
  <c r="AJ55" i="6"/>
  <c r="AJ58" i="6"/>
  <c r="AJ57" i="6"/>
  <c r="AJ59" i="6"/>
  <c r="I62" i="6"/>
  <c r="AJ11" i="6"/>
  <c r="AJ29" i="6"/>
  <c r="AJ33" i="6"/>
  <c r="AJ69" i="6"/>
  <c r="AJ72" i="6"/>
  <c r="AJ49" i="6"/>
  <c r="AJ48" i="6"/>
  <c r="AJ26" i="6"/>
  <c r="AJ28" i="6"/>
  <c r="AJ30" i="6"/>
  <c r="AJ34" i="6"/>
  <c r="AH70" i="6"/>
  <c r="AJ70" i="6" s="1"/>
  <c r="AJ47" i="6"/>
  <c r="U17" i="6"/>
  <c r="U76" i="6" s="1"/>
  <c r="U78" i="6" s="1"/>
  <c r="W17" i="6"/>
  <c r="W76" i="6" s="1"/>
  <c r="W78" i="6" s="1"/>
  <c r="H25" i="6"/>
  <c r="AJ61" i="6"/>
  <c r="AJ5" i="6"/>
  <c r="AJ16" i="6"/>
  <c r="AJ27" i="6"/>
  <c r="AJ31" i="6"/>
  <c r="AJ8" i="6"/>
  <c r="AJ50" i="6"/>
  <c r="AJ52" i="6"/>
  <c r="AJ56" i="6"/>
  <c r="AH62" i="6"/>
  <c r="I74" i="6"/>
  <c r="AJ66" i="6"/>
  <c r="AJ68" i="6"/>
  <c r="AJ73" i="6"/>
  <c r="I17" i="6"/>
  <c r="AH13" i="6"/>
  <c r="AJ13" i="6" s="1"/>
  <c r="AJ14" i="6"/>
  <c r="AH43" i="6"/>
  <c r="AJ43" i="6" s="1"/>
  <c r="AJ60" i="6"/>
  <c r="AH74" i="6"/>
  <c r="AH10" i="6"/>
  <c r="AJ10" i="6" s="1"/>
  <c r="K19" i="6"/>
  <c r="N19" i="6" s="1"/>
  <c r="AJ21" i="6"/>
  <c r="AJ25" i="6"/>
  <c r="AJ19" i="6"/>
  <c r="I22" i="6"/>
  <c r="AJ64" i="6"/>
  <c r="I37" i="6"/>
  <c r="H4" i="6"/>
  <c r="V17" i="6"/>
  <c r="V76" i="6" s="1"/>
  <c r="V78" i="6" s="1"/>
  <c r="M20" i="6"/>
  <c r="M76" i="6" s="1"/>
  <c r="AJ20" i="6"/>
  <c r="AJ6" i="6"/>
  <c r="AH37" i="6"/>
  <c r="AH22" i="6"/>
  <c r="V44" i="6"/>
  <c r="AH44" i="6" s="1"/>
  <c r="AJ44" i="6" s="1"/>
  <c r="K21" i="6"/>
  <c r="N21" i="6" s="1"/>
  <c r="S17" i="6"/>
  <c r="AH9" i="6"/>
  <c r="AJ9" i="6" s="1"/>
  <c r="AB17" i="6"/>
  <c r="AB76" i="6" s="1"/>
  <c r="AB78" i="6" s="1"/>
  <c r="AH7" i="6"/>
  <c r="AJ7" i="6" s="1"/>
  <c r="AJ66" i="5"/>
  <c r="AC72" i="5"/>
  <c r="P72" i="5"/>
  <c r="U39" i="1"/>
  <c r="U38" i="1"/>
  <c r="I69" i="5"/>
  <c r="R38" i="1"/>
  <c r="AJ67" i="5"/>
  <c r="AJ68" i="5"/>
  <c r="I37" i="5"/>
  <c r="I57" i="5"/>
  <c r="I17" i="5"/>
  <c r="AH39" i="5"/>
  <c r="AJ39" i="5" s="1"/>
  <c r="AJ27" i="5"/>
  <c r="K19" i="5"/>
  <c r="K20" i="5"/>
  <c r="M19" i="5"/>
  <c r="M20" i="5"/>
  <c r="M21" i="5" l="1"/>
  <c r="M72" i="5" s="1"/>
  <c r="I22" i="5"/>
  <c r="I72" i="5" s="1"/>
  <c r="S76" i="6"/>
  <c r="S78" i="6" s="1"/>
  <c r="I76" i="6"/>
  <c r="AJ22" i="6"/>
  <c r="AJ62" i="6"/>
  <c r="N20" i="6"/>
  <c r="N76" i="6" s="1"/>
  <c r="AJ74" i="6"/>
  <c r="AJ37" i="6"/>
  <c r="K76" i="6"/>
  <c r="AH17" i="6"/>
  <c r="AJ17" i="6" s="1"/>
  <c r="K72" i="5"/>
  <c r="N19" i="5"/>
  <c r="N20" i="5"/>
  <c r="Q27" i="1"/>
  <c r="T27" i="1" s="1"/>
  <c r="T26" i="1"/>
  <c r="T32" i="1"/>
  <c r="F33" i="5"/>
  <c r="N21" i="5" l="1"/>
  <c r="N72" i="5" s="1"/>
  <c r="F15" i="6"/>
  <c r="F15" i="5"/>
  <c r="F14" i="6"/>
  <c r="F14" i="5"/>
  <c r="AH76" i="6"/>
  <c r="AJ76" i="6" s="1"/>
  <c r="F53" i="5"/>
  <c r="F58" i="6"/>
  <c r="F54" i="5"/>
  <c r="F59" i="6"/>
  <c r="R32" i="1"/>
  <c r="AJ71" i="5"/>
  <c r="AJ70" i="5"/>
  <c r="AF69" i="5"/>
  <c r="R69" i="5"/>
  <c r="T65" i="5"/>
  <c r="AH63" i="5"/>
  <c r="AJ63" i="5" s="1"/>
  <c r="AH62" i="5"/>
  <c r="AJ62" i="5" s="1"/>
  <c r="AB15" i="5"/>
  <c r="AA15" i="5"/>
  <c r="Z15" i="5"/>
  <c r="Y15" i="5"/>
  <c r="X15" i="5"/>
  <c r="X69" i="5" s="1"/>
  <c r="W15" i="5"/>
  <c r="W69" i="5" s="1"/>
  <c r="AH14" i="5"/>
  <c r="AJ14" i="5" s="1"/>
  <c r="AH61" i="5"/>
  <c r="AJ61" i="5" s="1"/>
  <c r="AH60" i="5"/>
  <c r="AJ60" i="5" s="1"/>
  <c r="AH59" i="5"/>
  <c r="AJ59" i="5" s="1"/>
  <c r="AH56" i="5"/>
  <c r="AJ56" i="5" s="1"/>
  <c r="AH55" i="5"/>
  <c r="AJ55" i="5" s="1"/>
  <c r="AH54" i="5"/>
  <c r="AJ54" i="5" s="1"/>
  <c r="AH53" i="5"/>
  <c r="AJ53" i="5" s="1"/>
  <c r="AH50" i="5"/>
  <c r="AJ50" i="5" s="1"/>
  <c r="AH49" i="5"/>
  <c r="AJ49" i="5" s="1"/>
  <c r="AH48" i="5"/>
  <c r="AJ48" i="5" s="1"/>
  <c r="AH47" i="5"/>
  <c r="AJ47" i="5" s="1"/>
  <c r="R57" i="5"/>
  <c r="AH44" i="5"/>
  <c r="AJ44" i="5" s="1"/>
  <c r="AH43" i="5"/>
  <c r="AJ43" i="5" s="1"/>
  <c r="AH42" i="5"/>
  <c r="AJ42" i="5" s="1"/>
  <c r="AF37" i="5"/>
  <c r="AF40" i="5" s="1"/>
  <c r="AH40" i="5" s="1"/>
  <c r="AJ40" i="5" s="1"/>
  <c r="AE37" i="5"/>
  <c r="AH36" i="5"/>
  <c r="AJ36" i="5" s="1"/>
  <c r="AH35" i="5"/>
  <c r="AJ35" i="5" s="1"/>
  <c r="AH34" i="5"/>
  <c r="AJ34" i="5" s="1"/>
  <c r="AH33" i="5"/>
  <c r="AJ33" i="5" s="1"/>
  <c r="AH32" i="5"/>
  <c r="AJ32" i="5" s="1"/>
  <c r="AH31" i="5"/>
  <c r="AJ31" i="5" s="1"/>
  <c r="AH29" i="5"/>
  <c r="AJ29" i="5" s="1"/>
  <c r="AH28" i="5"/>
  <c r="AJ28" i="5" s="1"/>
  <c r="AH26" i="5"/>
  <c r="AJ26" i="5" s="1"/>
  <c r="AH25" i="5"/>
  <c r="AJ25" i="5" s="1"/>
  <c r="H25" i="5"/>
  <c r="AH24" i="5"/>
  <c r="AJ24" i="5" s="1"/>
  <c r="H24" i="5"/>
  <c r="AF22" i="5"/>
  <c r="AE22" i="5"/>
  <c r="R22" i="5"/>
  <c r="AH21" i="5"/>
  <c r="AJ21" i="5" s="1"/>
  <c r="H21" i="5"/>
  <c r="AH20" i="5"/>
  <c r="AJ20" i="5" s="1"/>
  <c r="H20" i="5"/>
  <c r="AH19" i="5"/>
  <c r="AJ19" i="5" s="1"/>
  <c r="H19" i="5"/>
  <c r="AH16" i="5"/>
  <c r="AJ16" i="5" s="1"/>
  <c r="X10" i="5"/>
  <c r="W10" i="5"/>
  <c r="V10" i="5"/>
  <c r="U10" i="5"/>
  <c r="X9" i="5"/>
  <c r="W9" i="5"/>
  <c r="V9" i="5"/>
  <c r="U9" i="5"/>
  <c r="X8" i="5"/>
  <c r="W8" i="5"/>
  <c r="V8" i="5"/>
  <c r="U8" i="5"/>
  <c r="T8" i="5"/>
  <c r="T17" i="5" s="1"/>
  <c r="S8" i="5"/>
  <c r="S17" i="5" s="1"/>
  <c r="S72" i="5" s="1"/>
  <c r="R8" i="5"/>
  <c r="R17" i="5" s="1"/>
  <c r="AH7" i="5"/>
  <c r="AJ7" i="5" s="1"/>
  <c r="AH6" i="5"/>
  <c r="AJ6" i="5" s="1"/>
  <c r="AH5" i="5"/>
  <c r="AJ5" i="5" s="1"/>
  <c r="H5" i="5"/>
  <c r="AH4" i="5"/>
  <c r="AJ4" i="5" s="1"/>
  <c r="H4" i="5"/>
  <c r="F50" i="6" l="1"/>
  <c r="F45" i="5"/>
  <c r="F71" i="6"/>
  <c r="AE72" i="5"/>
  <c r="Y69" i="5"/>
  <c r="Y17" i="5"/>
  <c r="AA69" i="5"/>
  <c r="AA17" i="5"/>
  <c r="AB69" i="5"/>
  <c r="AB17" i="5"/>
  <c r="Z69" i="5"/>
  <c r="Z17" i="5"/>
  <c r="U17" i="5"/>
  <c r="U72" i="5" s="1"/>
  <c r="V17" i="5"/>
  <c r="V72" i="5" s="1"/>
  <c r="F66" i="5"/>
  <c r="U32" i="1"/>
  <c r="R72" i="5"/>
  <c r="AF72" i="5"/>
  <c r="W17" i="5"/>
  <c r="W72" i="5" s="1"/>
  <c r="AH65" i="5"/>
  <c r="AJ65" i="5" s="1"/>
  <c r="T69" i="5"/>
  <c r="T72" i="5" s="1"/>
  <c r="X17" i="5"/>
  <c r="X72" i="5" s="1"/>
  <c r="AH10" i="5"/>
  <c r="AJ10" i="5" s="1"/>
  <c r="AH22" i="5"/>
  <c r="AJ22" i="5" s="1"/>
  <c r="AH51" i="5"/>
  <c r="AJ51" i="5" s="1"/>
  <c r="AH46" i="5"/>
  <c r="AJ46" i="5" s="1"/>
  <c r="AH9" i="5"/>
  <c r="AJ9" i="5" s="1"/>
  <c r="AH15" i="5"/>
  <c r="AJ15" i="5" s="1"/>
  <c r="AH30" i="5"/>
  <c r="AJ30" i="5" s="1"/>
  <c r="AH8" i="5"/>
  <c r="AJ8" i="5" s="1"/>
  <c r="AH45" i="5"/>
  <c r="AJ45" i="5" s="1"/>
  <c r="AH64" i="5"/>
  <c r="AJ64" i="5" s="1"/>
  <c r="AH11" i="5"/>
  <c r="AJ11" i="5" s="1"/>
  <c r="AH13" i="5"/>
  <c r="AJ13" i="5" s="1"/>
  <c r="AH12" i="5"/>
  <c r="AJ12" i="5" s="1"/>
  <c r="AH52" i="5"/>
  <c r="AJ52" i="5" s="1"/>
  <c r="AB72" i="5" l="1"/>
  <c r="Y72" i="5"/>
  <c r="Z72" i="5"/>
  <c r="AH69" i="5"/>
  <c r="AA72" i="5"/>
  <c r="AH72" i="5" s="1"/>
  <c r="AJ72" i="5" s="1"/>
  <c r="AH17" i="5"/>
  <c r="AJ17" i="5" s="1"/>
  <c r="AJ69" i="5"/>
  <c r="AH57" i="5"/>
  <c r="AJ57" i="5" s="1"/>
  <c r="AH37" i="5"/>
  <c r="AJ37" i="5" l="1"/>
  <c r="R10" i="1" l="1"/>
  <c r="R11" i="1"/>
  <c r="R12" i="1"/>
  <c r="R13" i="1"/>
  <c r="R14" i="1"/>
  <c r="R7" i="1"/>
  <c r="R19" i="1"/>
  <c r="R26" i="1"/>
  <c r="R27" i="1"/>
  <c r="R22" i="1"/>
  <c r="T20" i="1"/>
  <c r="R17" i="1"/>
  <c r="U26" i="1"/>
  <c r="U27" i="1"/>
  <c r="U22" i="1"/>
  <c r="R30" i="1"/>
  <c r="R6" i="1"/>
  <c r="F6" i="12" l="1"/>
  <c r="F6" i="11"/>
  <c r="F6" i="9"/>
  <c r="F6" i="8"/>
  <c r="F6" i="7"/>
  <c r="F6" i="6"/>
  <c r="F6" i="5"/>
  <c r="F30" i="5"/>
  <c r="F30" i="6"/>
  <c r="H51" i="7"/>
  <c r="F16" i="6"/>
  <c r="F16" i="5"/>
  <c r="G59" i="6"/>
  <c r="H59" i="6" s="1"/>
  <c r="G26" i="6"/>
  <c r="H26" i="6" s="1"/>
  <c r="H22" i="7"/>
  <c r="G53" i="5"/>
  <c r="G58" i="6"/>
  <c r="H58" i="6" s="1"/>
  <c r="F56" i="5"/>
  <c r="F73" i="6"/>
  <c r="F61" i="6"/>
  <c r="G26" i="5"/>
  <c r="H26" i="5" s="1"/>
  <c r="G54" i="5"/>
  <c r="Q25" i="1"/>
  <c r="R31" i="1"/>
  <c r="R15" i="1"/>
  <c r="R29" i="1"/>
  <c r="H48" i="7"/>
  <c r="G6" i="12" l="1"/>
  <c r="H6" i="12" s="1"/>
  <c r="G6" i="11"/>
  <c r="H6" i="11" s="1"/>
  <c r="G6" i="9"/>
  <c r="H6" i="9" s="1"/>
  <c r="G6" i="8"/>
  <c r="H6" i="8" s="1"/>
  <c r="G6" i="7"/>
  <c r="H6" i="7" s="1"/>
  <c r="G6" i="5"/>
  <c r="H6" i="5" s="1"/>
  <c r="G6" i="6"/>
  <c r="H6" i="6" s="1"/>
  <c r="G15" i="5"/>
  <c r="G15" i="6"/>
  <c r="H15" i="6" s="1"/>
  <c r="H67" i="7"/>
  <c r="G35" i="6"/>
  <c r="H12" i="7"/>
  <c r="G16" i="6"/>
  <c r="H16" i="6" s="1"/>
  <c r="G16" i="5"/>
  <c r="H16" i="5" s="1"/>
  <c r="G34" i="6"/>
  <c r="H34" i="6" s="1"/>
  <c r="H26" i="7"/>
  <c r="G28" i="6"/>
  <c r="H28" i="6" s="1"/>
  <c r="H24" i="7"/>
  <c r="G33" i="6"/>
  <c r="H33" i="6" s="1"/>
  <c r="H25" i="7"/>
  <c r="G56" i="5"/>
  <c r="H56" i="5" s="1"/>
  <c r="G73" i="6"/>
  <c r="H73" i="6" s="1"/>
  <c r="G61" i="6"/>
  <c r="H61" i="6" s="1"/>
  <c r="F48" i="5"/>
  <c r="F53" i="6"/>
  <c r="G46" i="5"/>
  <c r="G51" i="6"/>
  <c r="H51" i="6" s="1"/>
  <c r="G33" i="5"/>
  <c r="H33" i="5" s="1"/>
  <c r="G28" i="5"/>
  <c r="H28" i="5" s="1"/>
  <c r="H52" i="7"/>
  <c r="R24" i="1"/>
  <c r="R23" i="1"/>
  <c r="R25" i="1"/>
  <c r="F24" i="11" l="1"/>
  <c r="F73" i="8"/>
  <c r="F79" i="9"/>
  <c r="F67" i="5"/>
  <c r="F75" i="7"/>
  <c r="F72" i="6"/>
  <c r="F8" i="6"/>
  <c r="F8" i="5"/>
  <c r="F9" i="5"/>
  <c r="F9" i="6"/>
  <c r="F13" i="5"/>
  <c r="F13" i="6"/>
  <c r="F11" i="5"/>
  <c r="F11" i="6"/>
  <c r="F10" i="5"/>
  <c r="F10" i="6"/>
  <c r="F50" i="5"/>
  <c r="F55" i="6"/>
  <c r="F49" i="5"/>
  <c r="F54" i="6"/>
  <c r="G48" i="5"/>
  <c r="G53" i="6"/>
  <c r="H53" i="6" s="1"/>
  <c r="F52" i="5"/>
  <c r="F57" i="6"/>
  <c r="U23" i="1"/>
  <c r="U24" i="1"/>
  <c r="U25" i="1"/>
  <c r="U21" i="1"/>
  <c r="U31" i="1"/>
  <c r="T30" i="1"/>
  <c r="F68" i="5" s="1"/>
  <c r="T15" i="1"/>
  <c r="T29" i="1"/>
  <c r="U6" i="1"/>
  <c r="T11" i="1"/>
  <c r="U12" i="1"/>
  <c r="G24" i="11" l="1"/>
  <c r="H24" i="11" s="1"/>
  <c r="G73" i="8"/>
  <c r="H73" i="8" s="1"/>
  <c r="G79" i="9"/>
  <c r="H79" i="9" s="1"/>
  <c r="H45" i="7"/>
  <c r="G48" i="6"/>
  <c r="H48" i="6" s="1"/>
  <c r="G43" i="5"/>
  <c r="H43" i="5" s="1"/>
  <c r="F49" i="6"/>
  <c r="F44" i="5"/>
  <c r="G72" i="6"/>
  <c r="H72" i="6" s="1"/>
  <c r="G75" i="7"/>
  <c r="H75" i="7" s="1"/>
  <c r="G67" i="5"/>
  <c r="H67" i="5" s="1"/>
  <c r="H38" i="7"/>
  <c r="G43" i="6"/>
  <c r="H43" i="6" s="1"/>
  <c r="F12" i="5"/>
  <c r="F12" i="6"/>
  <c r="F42" i="5"/>
  <c r="F47" i="6"/>
  <c r="F27" i="6"/>
  <c r="F27" i="5"/>
  <c r="G45" i="5"/>
  <c r="G50" i="6"/>
  <c r="H50" i="6" s="1"/>
  <c r="H47" i="7"/>
  <c r="F65" i="5"/>
  <c r="F70" i="6"/>
  <c r="F55" i="5"/>
  <c r="F60" i="6"/>
  <c r="H7" i="7"/>
  <c r="G8" i="6"/>
  <c r="H8" i="6" s="1"/>
  <c r="G8" i="5"/>
  <c r="H8" i="5" s="1"/>
  <c r="F47" i="5"/>
  <c r="F52" i="6"/>
  <c r="H56" i="7"/>
  <c r="H8" i="7"/>
  <c r="G9" i="6"/>
  <c r="H9" i="6" s="1"/>
  <c r="G9" i="5"/>
  <c r="H9" i="5" s="1"/>
  <c r="F59" i="5"/>
  <c r="F64" i="6"/>
  <c r="H73" i="7"/>
  <c r="G66" i="5"/>
  <c r="H66" i="5" s="1"/>
  <c r="G71" i="6"/>
  <c r="H71" i="6" s="1"/>
  <c r="H9" i="7"/>
  <c r="G10" i="6"/>
  <c r="H10" i="6" s="1"/>
  <c r="G10" i="5"/>
  <c r="H10" i="5" s="1"/>
  <c r="F56" i="6"/>
  <c r="F69" i="6"/>
  <c r="F64" i="5"/>
  <c r="H11" i="7"/>
  <c r="H54" i="7"/>
  <c r="H10" i="7"/>
  <c r="G11" i="6"/>
  <c r="H11" i="6" s="1"/>
  <c r="G11" i="5"/>
  <c r="H11" i="5" s="1"/>
  <c r="F51" i="5"/>
  <c r="G7" i="6"/>
  <c r="H7" i="6" s="1"/>
  <c r="F29" i="6"/>
  <c r="G54" i="6"/>
  <c r="H54" i="6" s="1"/>
  <c r="H53" i="7"/>
  <c r="F36" i="6"/>
  <c r="F62" i="5"/>
  <c r="F67" i="6"/>
  <c r="G69" i="6"/>
  <c r="F60" i="5"/>
  <c r="F65" i="6"/>
  <c r="G52" i="5"/>
  <c r="H52" i="5" s="1"/>
  <c r="G57" i="6"/>
  <c r="H57" i="6" s="1"/>
  <c r="F61" i="5"/>
  <c r="F66" i="6"/>
  <c r="G56" i="6"/>
  <c r="G50" i="5"/>
  <c r="G55" i="6"/>
  <c r="H55" i="6" s="1"/>
  <c r="G13" i="5"/>
  <c r="H13" i="5" s="1"/>
  <c r="G13" i="6"/>
  <c r="H13" i="6" s="1"/>
  <c r="G30" i="5"/>
  <c r="H30" i="5" s="1"/>
  <c r="G30" i="6"/>
  <c r="H30" i="6" s="1"/>
  <c r="H15" i="5"/>
  <c r="G49" i="5"/>
  <c r="H49" i="5" s="1"/>
  <c r="G7" i="5"/>
  <c r="H7" i="5" s="1"/>
  <c r="G39" i="5"/>
  <c r="H39" i="5" s="1"/>
  <c r="F35" i="5"/>
  <c r="F34" i="5"/>
  <c r="H54" i="5"/>
  <c r="U13" i="1"/>
  <c r="H29" i="7" s="1"/>
  <c r="F31" i="5"/>
  <c r="U14" i="1"/>
  <c r="F32" i="5"/>
  <c r="G12" i="5"/>
  <c r="F29" i="5"/>
  <c r="U15" i="1"/>
  <c r="F36" i="5"/>
  <c r="U30" i="1"/>
  <c r="G68" i="5" s="1"/>
  <c r="U29" i="1"/>
  <c r="H46" i="7" l="1"/>
  <c r="G49" i="6"/>
  <c r="H49" i="6" s="1"/>
  <c r="G44" i="5"/>
  <c r="H44" i="5" s="1"/>
  <c r="H12" i="5"/>
  <c r="H56" i="6"/>
  <c r="H43" i="7"/>
  <c r="G42" i="5"/>
  <c r="H42" i="5" s="1"/>
  <c r="G47" i="6"/>
  <c r="H47" i="6" s="1"/>
  <c r="G12" i="6"/>
  <c r="H12" i="6" s="1"/>
  <c r="H64" i="7"/>
  <c r="H30" i="7"/>
  <c r="G14" i="5"/>
  <c r="H14" i="5" s="1"/>
  <c r="H66" i="7"/>
  <c r="G14" i="6"/>
  <c r="H14" i="6" s="1"/>
  <c r="H27" i="7"/>
  <c r="H55" i="7"/>
  <c r="G27" i="5"/>
  <c r="H23" i="7"/>
  <c r="G27" i="6"/>
  <c r="H27" i="6" s="1"/>
  <c r="H69" i="6"/>
  <c r="H28" i="7"/>
  <c r="G64" i="5"/>
  <c r="H64" i="5" s="1"/>
  <c r="H69" i="7"/>
  <c r="G65" i="5"/>
  <c r="H65" i="5" s="1"/>
  <c r="G70" i="6"/>
  <c r="H70" i="6" s="1"/>
  <c r="G55" i="5"/>
  <c r="H55" i="5" s="1"/>
  <c r="G60" i="6"/>
  <c r="H60" i="6" s="1"/>
  <c r="G68" i="6"/>
  <c r="H68" i="6" s="1"/>
  <c r="G51" i="5"/>
  <c r="H51" i="5" s="1"/>
  <c r="G47" i="5"/>
  <c r="H47" i="5" s="1"/>
  <c r="H50" i="7"/>
  <c r="G52" i="6"/>
  <c r="H52" i="6" s="1"/>
  <c r="G63" i="5"/>
  <c r="H63" i="5" s="1"/>
  <c r="H71" i="7"/>
  <c r="G59" i="5"/>
  <c r="G64" i="6"/>
  <c r="H72" i="7"/>
  <c r="G67" i="6"/>
  <c r="H67" i="6" s="1"/>
  <c r="H70" i="7"/>
  <c r="G36" i="6"/>
  <c r="H36" i="6" s="1"/>
  <c r="H34" i="7"/>
  <c r="G61" i="5"/>
  <c r="H61" i="5" s="1"/>
  <c r="G66" i="6"/>
  <c r="H66" i="6" s="1"/>
  <c r="G60" i="5"/>
  <c r="H60" i="5" s="1"/>
  <c r="G65" i="6"/>
  <c r="H65" i="6" s="1"/>
  <c r="G34" i="5"/>
  <c r="H34" i="5" s="1"/>
  <c r="G29" i="6"/>
  <c r="H29" i="6" s="1"/>
  <c r="G32" i="5"/>
  <c r="H32" i="5" s="1"/>
  <c r="G32" i="6"/>
  <c r="H32" i="6" s="1"/>
  <c r="G31" i="5"/>
  <c r="H31" i="5" s="1"/>
  <c r="G31" i="6"/>
  <c r="H31" i="6" s="1"/>
  <c r="H48" i="5"/>
  <c r="G62" i="5"/>
  <c r="H62" i="5" s="1"/>
  <c r="G36" i="5"/>
  <c r="H36" i="5" s="1"/>
  <c r="H46" i="5"/>
  <c r="H50" i="5"/>
  <c r="G29" i="5"/>
  <c r="H29" i="5" s="1"/>
  <c r="G35" i="5"/>
  <c r="H45" i="5"/>
  <c r="H53" i="5"/>
  <c r="R36" i="7"/>
  <c r="Y36" i="7"/>
  <c r="AA36" i="7"/>
  <c r="AB36" i="7"/>
  <c r="U36" i="7"/>
  <c r="W36" i="7"/>
  <c r="X36" i="7"/>
  <c r="AE36" i="7"/>
  <c r="AE99" i="7" s="1"/>
  <c r="AC36" i="7"/>
  <c r="S36" i="7"/>
  <c r="S99" i="7" s="1"/>
  <c r="P36" i="7"/>
  <c r="P99" i="7" s="1"/>
  <c r="T36" i="7"/>
  <c r="V36" i="7"/>
  <c r="AF36" i="7"/>
  <c r="I36" i="7"/>
  <c r="Z36" i="7"/>
  <c r="V99" i="7" l="1"/>
  <c r="V101" i="7" s="1"/>
  <c r="U99" i="7"/>
  <c r="U101" i="7" s="1"/>
  <c r="T99" i="7"/>
  <c r="T101" i="7" s="1"/>
  <c r="AB99" i="7"/>
  <c r="AB101" i="7" s="1"/>
  <c r="Y99" i="7"/>
  <c r="Y101" i="7" s="1"/>
  <c r="R99" i="7"/>
  <c r="R101" i="7" s="1"/>
  <c r="Z99" i="7"/>
  <c r="Z101" i="7" s="1"/>
  <c r="AA101" i="7"/>
  <c r="AA99" i="7"/>
  <c r="X99" i="7"/>
  <c r="X101" i="7" s="1"/>
  <c r="AC99" i="7"/>
  <c r="AC101" i="7" s="1"/>
  <c r="AF39" i="7"/>
  <c r="AH39" i="7" s="1"/>
  <c r="AJ39" i="7" s="1"/>
  <c r="W99" i="7"/>
  <c r="W101" i="7" s="1"/>
  <c r="AH36" i="7"/>
  <c r="AJ36" i="7" s="1"/>
  <c r="S101" i="7"/>
  <c r="P101" i="7"/>
  <c r="AF99" i="7" l="1"/>
  <c r="AH99" i="7" s="1"/>
  <c r="AJ99" i="7" s="1"/>
  <c r="S99" i="8"/>
  <c r="S101" i="8" s="1"/>
  <c r="U105" i="9" l="1"/>
  <c r="U107" i="9" s="1"/>
  <c r="V105" i="9"/>
  <c r="V107" i="9" s="1"/>
  <c r="W105" i="9"/>
  <c r="W107" i="9" s="1"/>
  <c r="X105" i="9"/>
  <c r="X107" i="9" s="1"/>
  <c r="Y105" i="9"/>
  <c r="Y107" i="9" s="1"/>
  <c r="Z105" i="9"/>
  <c r="Z107" i="9" s="1"/>
  <c r="AA105" i="9"/>
  <c r="AA107" i="9" s="1"/>
  <c r="AB105" i="9"/>
  <c r="AB107" i="9" s="1"/>
  <c r="AC105" i="9"/>
  <c r="AC107" i="9" s="1"/>
  <c r="R111" i="11"/>
  <c r="T111" i="11"/>
  <c r="P111" i="11"/>
  <c r="AH71" i="11"/>
  <c r="AJ71" i="11" s="1"/>
  <c r="AF109" i="11"/>
  <c r="AH109" i="11" s="1"/>
  <c r="AJ109" i="11" s="1"/>
  <c r="AH38" i="13"/>
  <c r="AJ38" i="13" l="1"/>
  <c r="I117" i="13"/>
  <c r="AH16" i="13"/>
  <c r="AJ16" i="13" s="1"/>
  <c r="P117" i="13"/>
  <c r="P119" i="13" s="1"/>
  <c r="Y117" i="13"/>
  <c r="Y119" i="13" s="1"/>
  <c r="AB117" i="13"/>
  <c r="AB119" i="13" s="1"/>
  <c r="U117" i="13"/>
  <c r="U119" i="13" s="1"/>
  <c r="X117" i="13"/>
  <c r="X119" i="13" s="1"/>
  <c r="S117" i="13"/>
  <c r="S119" i="13" s="1"/>
  <c r="W117" i="13"/>
  <c r="W119" i="13" s="1"/>
  <c r="M117" i="13"/>
  <c r="R117" i="13"/>
  <c r="R119" i="13" s="1"/>
  <c r="AC117" i="13"/>
  <c r="AC119" i="13" s="1"/>
  <c r="AA117" i="13"/>
  <c r="AA119" i="13" s="1"/>
  <c r="J117" i="13"/>
  <c r="T117" i="13"/>
  <c r="T119" i="13" s="1"/>
  <c r="K117" i="13"/>
  <c r="N117" i="13"/>
  <c r="Z117" i="13"/>
  <c r="Z119" i="13" s="1"/>
  <c r="L117" i="13"/>
  <c r="AF117" i="13"/>
  <c r="AE117" i="13"/>
  <c r="V117" i="13"/>
  <c r="V119" i="13" s="1"/>
  <c r="AH117" i="13" l="1"/>
  <c r="AJ117" i="13" s="1"/>
  <c r="AH26" i="14"/>
  <c r="AH62" i="14" l="1"/>
  <c r="U99" i="8" l="1"/>
  <c r="U101" i="8" s="1"/>
  <c r="I99" i="8"/>
  <c r="AA99" i="8"/>
  <c r="AA101" i="8" s="1"/>
  <c r="Z99" i="8"/>
  <c r="Z101" i="8" s="1"/>
  <c r="X99" i="8"/>
  <c r="X101" i="8"/>
  <c r="AH54" i="8"/>
  <c r="T99" i="8"/>
  <c r="T101" i="8"/>
  <c r="Y99" i="8"/>
  <c r="Y101" i="8"/>
  <c r="W99" i="8"/>
  <c r="W101" i="8" s="1"/>
  <c r="R99" i="8"/>
  <c r="R101" i="8" s="1"/>
  <c r="AF99" i="8"/>
  <c r="AC99" i="8"/>
  <c r="AC101" i="8" s="1"/>
  <c r="AJ54" i="8"/>
  <c r="V99" i="8"/>
  <c r="V101" i="8"/>
  <c r="AE99" i="8"/>
  <c r="P101" i="8"/>
  <c r="P99" i="8"/>
  <c r="AH99" i="8" s="1"/>
  <c r="AB99" i="8"/>
  <c r="AB101" i="8"/>
  <c r="AJ99" i="8" l="1"/>
  <c r="P105" i="9"/>
  <c r="P107" i="9" l="1"/>
  <c r="I105" i="9"/>
  <c r="AE105" i="9"/>
  <c r="R105" i="9"/>
  <c r="AH105" i="9" s="1"/>
  <c r="AJ105" i="9" s="1"/>
  <c r="R107" i="9"/>
  <c r="AH61" i="9"/>
  <c r="AJ61" i="9" s="1"/>
  <c r="AF105" i="9"/>
  <c r="T105" i="9"/>
  <c r="T107" i="9"/>
  <c r="N8" i="14" l="1"/>
  <c r="N13" i="14"/>
  <c r="N15" i="14"/>
  <c r="W156" i="14" l="1"/>
  <c r="AH38" i="14"/>
  <c r="U156" i="14"/>
  <c r="Z156" i="14"/>
  <c r="V156" i="14"/>
  <c r="AB156" i="14"/>
  <c r="X156" i="14"/>
  <c r="AC156" i="14"/>
  <c r="S156" i="14"/>
  <c r="T156" i="14"/>
  <c r="AD156" i="14"/>
  <c r="R156" i="14"/>
  <c r="AA156" i="14"/>
  <c r="Y156" i="14"/>
  <c r="AH154" i="14" l="1"/>
  <c r="AI97" i="16" l="1"/>
  <c r="AK97" i="16" s="1"/>
  <c r="AI75" i="16"/>
  <c r="AK75" i="16" s="1"/>
  <c r="AI92" i="16"/>
  <c r="AK92" i="16" s="1"/>
  <c r="AI128" i="16"/>
  <c r="AK128" i="16" s="1"/>
  <c r="AI141" i="16"/>
  <c r="AK141" i="16" s="1"/>
  <c r="AI142" i="16"/>
  <c r="AK142" i="16" s="1"/>
  <c r="AI14" i="16"/>
  <c r="AK14" i="16" s="1"/>
  <c r="AI98" i="16"/>
  <c r="AK98" i="16" s="1"/>
  <c r="AI140" i="16"/>
  <c r="AK140" i="16" s="1"/>
  <c r="AI144" i="16"/>
  <c r="AK144" i="16" s="1"/>
  <c r="AI127" i="16"/>
  <c r="AK127" i="16" s="1"/>
  <c r="AI82" i="16"/>
  <c r="AK82" i="16" s="1"/>
  <c r="AI8" i="16"/>
  <c r="AK8" i="16" s="1"/>
  <c r="AI30" i="16"/>
  <c r="AK30" i="16" s="1"/>
  <c r="AI25" i="16"/>
  <c r="AK25" i="16" s="1"/>
  <c r="AI95" i="16"/>
  <c r="AK95" i="16" s="1"/>
  <c r="AI33" i="16"/>
  <c r="AK33" i="16" s="1"/>
  <c r="AI9" i="16"/>
  <c r="AK9" i="16" s="1"/>
  <c r="AI148" i="16"/>
  <c r="AK148" i="16" s="1"/>
  <c r="AI17" i="16"/>
  <c r="AK17" i="16" s="1"/>
  <c r="AI99" i="16"/>
  <c r="AK99" i="16" s="1"/>
  <c r="AI29" i="16"/>
  <c r="AK29" i="16" s="1"/>
  <c r="AI12" i="16"/>
  <c r="AK12" i="16" s="1"/>
  <c r="AI83" i="16"/>
  <c r="AK83" i="16" s="1"/>
  <c r="AI77" i="16"/>
  <c r="AK77" i="16" s="1"/>
  <c r="AI150" i="16"/>
  <c r="AK150" i="16" s="1"/>
  <c r="AI113" i="16"/>
  <c r="AK113" i="16" s="1"/>
  <c r="AI102" i="16"/>
  <c r="AK102" i="16" s="1"/>
  <c r="AI96" i="16"/>
  <c r="AK96" i="16" s="1"/>
  <c r="AI126" i="16"/>
  <c r="AK126" i="16" s="1"/>
  <c r="AI137" i="16"/>
  <c r="AK137" i="16" s="1"/>
  <c r="AI101" i="16"/>
  <c r="AK101" i="16" s="1"/>
  <c r="AI151" i="16"/>
  <c r="AK151" i="16" s="1"/>
  <c r="AI124" i="16"/>
  <c r="AK124" i="16" s="1"/>
  <c r="AI37" i="16"/>
  <c r="AK37" i="16" s="1"/>
  <c r="AI135" i="16"/>
  <c r="AK135" i="16" s="1"/>
  <c r="AI6" i="16"/>
  <c r="AK6" i="16" s="1"/>
  <c r="AI16" i="16"/>
  <c r="AK16" i="16" s="1"/>
  <c r="AI78" i="16"/>
  <c r="AK78" i="16" s="1"/>
  <c r="AI123" i="16"/>
  <c r="AK123" i="16" s="1"/>
  <c r="AI10" i="16"/>
  <c r="AK10" i="16" s="1"/>
  <c r="AI11" i="16"/>
  <c r="AK11" i="16" s="1"/>
  <c r="AI69" i="16"/>
  <c r="AK69" i="16" s="1"/>
  <c r="AI5" i="16"/>
  <c r="AK5" i="16" s="1"/>
  <c r="AI91" i="16"/>
  <c r="AK91" i="16" s="1"/>
  <c r="AI93" i="16"/>
  <c r="AK93" i="16" s="1"/>
  <c r="AI76" i="16"/>
  <c r="AK76" i="16" s="1"/>
  <c r="AI31" i="16"/>
  <c r="AK31" i="16" s="1"/>
  <c r="AI24" i="16"/>
  <c r="AK24" i="16" s="1"/>
  <c r="AI89" i="16"/>
  <c r="AK89" i="16" s="1"/>
  <c r="AI7" i="16"/>
  <c r="AK7" i="16" s="1"/>
  <c r="AI81" i="16"/>
  <c r="AK81" i="16" s="1"/>
  <c r="AI73" i="16"/>
  <c r="AK73" i="16" s="1"/>
  <c r="AI106" i="16"/>
  <c r="AK106" i="16" s="1"/>
  <c r="AI71" i="16"/>
  <c r="AK71" i="16" s="1"/>
  <c r="AI94" i="16"/>
  <c r="AK94" i="16" s="1"/>
  <c r="AI72" i="16"/>
  <c r="AK72" i="16" s="1"/>
  <c r="AI138" i="16"/>
  <c r="AK138" i="16" s="1"/>
  <c r="AI112" i="16"/>
  <c r="AK112" i="16" s="1"/>
  <c r="AI70" i="16"/>
  <c r="AK70" i="16" s="1"/>
  <c r="AI119" i="16"/>
  <c r="AK119" i="16" s="1"/>
  <c r="AI104" i="16"/>
  <c r="AK104" i="16" s="1"/>
  <c r="AI143" i="16"/>
  <c r="AK143" i="16" s="1"/>
  <c r="AI147" i="16"/>
  <c r="AK147" i="16" s="1"/>
  <c r="AI36" i="16"/>
  <c r="AK36" i="16" s="1"/>
  <c r="AI114" i="16"/>
  <c r="AK114" i="16" s="1"/>
  <c r="AI145" i="16"/>
  <c r="AK145" i="16" s="1"/>
  <c r="AI109" i="16"/>
  <c r="AK109" i="16" s="1"/>
  <c r="AI60" i="16"/>
  <c r="AK60" i="16" s="1"/>
  <c r="AI108" i="16"/>
  <c r="AK108" i="16" s="1"/>
  <c r="AI118" i="16"/>
  <c r="AK118" i="16" s="1"/>
  <c r="AI103" i="16"/>
  <c r="AK103" i="16" s="1"/>
  <c r="AI115" i="16"/>
  <c r="AK115" i="16" s="1"/>
  <c r="AI100" i="16"/>
  <c r="AK100" i="16" s="1"/>
  <c r="AI136" i="16"/>
  <c r="AK136" i="16" s="1"/>
  <c r="AI111" i="16"/>
  <c r="AK111" i="16" s="1"/>
  <c r="AI107" i="16"/>
  <c r="AK107" i="16" s="1"/>
  <c r="AI139" i="16"/>
  <c r="AK139" i="16" s="1"/>
  <c r="AI125" i="16"/>
  <c r="AK125" i="16" s="1"/>
  <c r="AI46" i="16"/>
  <c r="AK46" i="16" s="1"/>
  <c r="AI74" i="16"/>
  <c r="AK74" i="16" s="1"/>
  <c r="AI45" i="16"/>
  <c r="AK45" i="16" s="1"/>
  <c r="AI15" i="16"/>
  <c r="AK15" i="16" s="1"/>
  <c r="AI18" i="16"/>
  <c r="AK18" i="16" s="1"/>
  <c r="AI13" i="16"/>
  <c r="AK13" i="16" s="1"/>
  <c r="AI62" i="16"/>
  <c r="AK62" i="16" s="1"/>
  <c r="AI61" i="16"/>
  <c r="AK61" i="16" s="1"/>
  <c r="AI32" i="16"/>
  <c r="AK32" i="16" s="1"/>
  <c r="AI34" i="16"/>
  <c r="AK34" i="16" s="1"/>
  <c r="AI51" i="16"/>
  <c r="AK51" i="16" s="1"/>
  <c r="AI20" i="16"/>
  <c r="AK20" i="16" s="1"/>
  <c r="AI35" i="16"/>
  <c r="AK35" i="16" s="1"/>
  <c r="AI79" i="16"/>
  <c r="AK79" i="16" s="1"/>
  <c r="AI58" i="16"/>
  <c r="AK58" i="16" s="1"/>
  <c r="AI19" i="16"/>
  <c r="AK19" i="16" s="1"/>
  <c r="AI86" i="16" l="1"/>
  <c r="AK86" i="16" s="1"/>
  <c r="AB87" i="16"/>
  <c r="AI87" i="16" s="1"/>
  <c r="AK87" i="16" s="1"/>
  <c r="AI68" i="16"/>
  <c r="AK68" i="16" s="1"/>
  <c r="AB52" i="16"/>
  <c r="AI52" i="16" s="1"/>
  <c r="AK52" i="16" s="1"/>
  <c r="AI50" i="16"/>
  <c r="AK50" i="16" s="1"/>
  <c r="AI134" i="16"/>
  <c r="AK134" i="16" s="1"/>
  <c r="AB26" i="16"/>
  <c r="AI26" i="16" s="1"/>
  <c r="AK26" i="16" s="1"/>
  <c r="AI23" i="16"/>
  <c r="AK23" i="16" s="1"/>
  <c r="AI80" i="16"/>
  <c r="AK80" i="16" s="1"/>
  <c r="AI146" i="16"/>
  <c r="AK146" i="16" s="1"/>
  <c r="AB21" i="16"/>
  <c r="AI4" i="16"/>
  <c r="AK4" i="16" s="1"/>
  <c r="AB132" i="16"/>
  <c r="AI132" i="16" s="1"/>
  <c r="AK132" i="16" s="1"/>
  <c r="AI90" i="16"/>
  <c r="AK90" i="16" s="1"/>
  <c r="AB47" i="16"/>
  <c r="AI47" i="16" s="1"/>
  <c r="AK47" i="16" s="1"/>
  <c r="AI44" i="16"/>
  <c r="AK44" i="16" s="1"/>
  <c r="AI28" i="16"/>
  <c r="AK28" i="16" s="1"/>
  <c r="AB38" i="16"/>
  <c r="AI38" i="16" s="1"/>
  <c r="AK38" i="16" s="1"/>
  <c r="AB63" i="16"/>
  <c r="AI63" i="16" s="1"/>
  <c r="AK63" i="16" s="1"/>
  <c r="AI59" i="16"/>
  <c r="AK59" i="16" s="1"/>
  <c r="AB152" i="16" l="1"/>
  <c r="AI152" i="16" s="1"/>
  <c r="AK152" i="16" s="1"/>
  <c r="AI21" i="16"/>
  <c r="AK21" i="16" s="1"/>
  <c r="AB84" i="16"/>
  <c r="AI84" i="16" s="1"/>
  <c r="AK84" i="16" s="1"/>
  <c r="AB154" i="16" l="1"/>
  <c r="AB156" i="16" l="1"/>
  <c r="AI154" i="16"/>
  <c r="AK154" i="16" s="1"/>
  <c r="W139" i="19"/>
  <c r="AD139" i="19"/>
  <c r="AV139" i="19"/>
  <c r="AA139" i="19"/>
  <c r="Z139" i="19"/>
  <c r="AL139" i="19"/>
  <c r="AK139" i="19"/>
  <c r="AT139" i="19"/>
  <c r="AI139" i="19"/>
  <c r="AG139" i="19"/>
  <c r="AS139" i="19"/>
  <c r="AP139" i="19"/>
  <c r="AX135" i="19"/>
  <c r="AZ135" i="19" s="1"/>
  <c r="AE139" i="19"/>
  <c r="AH139" i="19"/>
  <c r="AF139" i="19"/>
  <c r="AO139" i="19"/>
  <c r="AQ139" i="19"/>
  <c r="AN139" i="19"/>
  <c r="X139" i="19"/>
  <c r="AJ139" i="19"/>
  <c r="AC139" i="19"/>
  <c r="AM139" i="19"/>
  <c r="AU139" i="19"/>
  <c r="AR139" i="19"/>
  <c r="Y139" i="19"/>
  <c r="AB139" i="19"/>
  <c r="AX137" i="19" l="1"/>
  <c r="AZ137" i="19" s="1"/>
  <c r="AX84" i="19"/>
  <c r="AZ84" i="19" s="1"/>
  <c r="AZ67" i="24" l="1"/>
  <c r="AQ22" i="27" l="1"/>
  <c r="AZ148" i="24"/>
  <c r="BB148" i="24" s="1"/>
  <c r="AZ68" i="24"/>
  <c r="BB68" i="24" s="1"/>
  <c r="BB67" i="24"/>
  <c r="AK68" i="24"/>
  <c r="AK148" i="24"/>
  <c r="AK150" i="24" s="1"/>
  <c r="AQ9" i="27" l="1"/>
  <c r="AQ14" i="27" l="1"/>
  <c r="AQ25" i="27" l="1"/>
  <c r="AQ29" i="27" l="1"/>
  <c r="AS34" i="27"/>
  <c r="AS7" i="27"/>
  <c r="AS17" i="27"/>
  <c r="AS23" i="27"/>
  <c r="AS5" i="27"/>
  <c r="AS19" i="27"/>
  <c r="AS24" i="27"/>
  <c r="AS13" i="27"/>
  <c r="AS10" i="27"/>
  <c r="AS47" i="27"/>
  <c r="AS48" i="27"/>
  <c r="AS21" i="27"/>
  <c r="AS28" i="27"/>
  <c r="AS12" i="27"/>
  <c r="AQ32" i="27" l="1"/>
  <c r="AS27" i="27"/>
  <c r="AS9" i="27"/>
  <c r="AS46" i="27"/>
  <c r="AS20" i="27"/>
  <c r="AS35" i="27"/>
  <c r="AS8" i="27"/>
  <c r="AS6" i="27"/>
  <c r="AQ40" i="27" l="1"/>
  <c r="AQ50" i="27" s="1"/>
  <c r="AS22" i="27"/>
  <c r="AA25" i="27"/>
  <c r="AS16" i="27"/>
  <c r="AS31" i="27"/>
  <c r="AA29" i="27" l="1"/>
  <c r="AS25" i="27"/>
  <c r="AS14" i="27"/>
  <c r="AS29" i="27" l="1"/>
  <c r="AA32" i="27"/>
  <c r="AA40" i="27" l="1"/>
  <c r="AA50" i="27" s="1"/>
  <c r="AS32" i="27"/>
  <c r="AA109" i="27" l="1"/>
  <c r="AA111" i="27" s="1"/>
  <c r="AS40" i="27"/>
  <c r="AS50" i="27"/>
  <c r="AQ52" i="27" l="1"/>
  <c r="AC109" i="27"/>
  <c r="AC111" i="27" l="1"/>
  <c r="AC113" i="27" s="1"/>
  <c r="AS52" i="27"/>
  <c r="AQ109" i="27"/>
  <c r="AQ111" i="27" l="1"/>
  <c r="AS111" i="27" s="1"/>
  <c r="AS109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Snyder</author>
    <author>tc={7FE6357C-655F-4C04-A4FA-B1C5ED4A5AF0}</author>
    <author>Trevor Hayes</author>
    <author>tc={0AC96804-20C7-4816-ADFA-3C23728EEF31}</author>
    <author>tc={A21A9FFF-A3D1-4F34-BEB6-3644F2A88009}</author>
    <author>tc={B853EC8F-4D10-4548-9A93-0735FA246248}</author>
    <author>tc={3E0E36D7-A5ED-4D4C-8B11-2A3AE1E1138A}</author>
    <author>tc={01F40750-CE92-4390-9B69-8DF582D1BEF5}</author>
    <author>tc={BA90CD67-9DC6-48A2-90B6-11FFBAF88E69}</author>
    <author>tc={E6455DFE-0136-4508-A05A-8A18D74D5B4E}</author>
    <author>tc={F78FBAEE-B93C-4DE7-97C3-A17BC7C61187}</author>
    <author>tc={1C2CD7DD-32B7-4911-81EE-7D627AAA3036}</author>
    <author>tc={4D6A6C55-E269-4AA6-BE0C-1AF5A5C135FC}</author>
    <author>tc={B32BFA18-1E3F-4AB0-9A14-6221EB88CC3D}</author>
    <author>tc={9894B57D-0B84-42CC-AABC-6BBD060775A2}</author>
    <author>tc={000274A9-5262-4BE2-8F4B-2C921272DD2A}</author>
    <author>tc={00773738-85DA-4D47-BCE1-86FBB73E02FD}</author>
    <author>tc={A4F7DF24-CA05-452E-A171-9ACA94E94BED}</author>
    <author>tc={702A5F71-2CBC-4F6B-BD79-53C590C1EF69}</author>
    <author>tc={19A531EA-6F28-4DC2-A9A6-4EF5233777C3}</author>
    <author>tc={2DFD7EB4-1027-49A9-915E-C115E0E4C7D1}</author>
    <author>tc={DAE650CC-30AF-4462-BCFA-D1CCC037B976}</author>
    <author>Bobby Snyder</author>
  </authors>
  <commentList>
    <comment ref="O6" authorId="0" shapeId="0" xr:uid="{E1B50121-4769-4519-93CA-ECB14100F578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" authorId="1" shapeId="0" xr:uid="{7FE6357C-655F-4C04-A4FA-B1C5ED4A5AF0}">
      <text>
        <t>[Threaded comment]
Your version of Excel allows you to read this threaded comment; however, any edits to it will get removed if the file is opened in a newer version of Excel. Learn more: https://go.microsoft.com/fwlink/?linkid=870924
Comment:
    Trevor has to resubmit new site plan for shell</t>
      </text>
    </comment>
    <comment ref="S15" authorId="2" shapeId="0" xr:uid="{85BDA5D7-889E-49A6-B93B-097E565ECCA6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Updated value</t>
        </r>
      </text>
    </comment>
    <comment ref="P21" authorId="3" shapeId="0" xr:uid="{0AC96804-20C7-4816-ADFA-3C23728EEF31}">
      <text>
        <t>[Threaded comment]
Your version of Excel allows you to read this threaded comment; however, any edits to it will get removed if the file is opened in a newer version of Excel. Learn more: https://go.microsoft.com/fwlink/?linkid=870924
Comment:
    Land Issue, will be pushed back. Date TBD</t>
      </text>
    </comment>
    <comment ref="C23" authorId="4" shapeId="0" xr:uid="{A21A9FFF-A3D1-4F34-BEB6-3644F2A88009}">
      <text>
        <t>[Threaded comment]
Your version of Excel allows you to read this threaded comment; however, any edits to it will get removed if the file is opened in a newer version of Excel. Learn more: https://go.microsoft.com/fwlink/?linkid=870924
Comment:
    Site approval is in City and preapproval is needed prior to building permit review</t>
      </text>
    </comment>
    <comment ref="P23" authorId="2" shapeId="0" xr:uid="{D5026EBD-F0E4-4B34-A3B1-8BCE08F91277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Updated permit date
</t>
        </r>
      </text>
    </comment>
    <comment ref="C26" authorId="5" shapeId="0" xr:uid="{B853EC8F-4D10-4548-9A93-0735FA246248}">
      <text>
        <t>[Threaded comment]
Your version of Excel allows you to read this threaded comment; however, any edits to it will get removed if the file is opened in a newer version of Excel. Learn more: https://go.microsoft.com/fwlink/?linkid=870924
Comment:
    Going in for site approval</t>
      </text>
    </comment>
    <comment ref="P26" authorId="2" shapeId="0" xr:uid="{B82194E5-3E75-4C41-8F44-5F24CB6B33D7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Updated permit date
</t>
        </r>
      </text>
    </comment>
    <comment ref="P28" authorId="0" shapeId="0" xr:uid="{9BDDC773-FDEA-4216-A621-BC71276C0F34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The City may not want this development</t>
        </r>
      </text>
    </comment>
    <comment ref="P30" authorId="6" shapeId="0" xr:uid="{3E0E36D7-A5ED-4D4C-8B11-2A3AE1E1138A}">
      <text>
        <t>[Threaded comment]
Your version of Excel allows you to read this threaded comment; however, any edits to it will get removed if the file is opened in a newer version of Excel. Learn more: https://go.microsoft.com/fwlink/?linkid=870924
Comment:
    Site permit comment from City of Edmond Moved Date</t>
      </text>
    </comment>
    <comment ref="C31" authorId="7" shapeId="0" xr:uid="{01F40750-CE92-4390-9B69-8DF582D1BEF5}">
      <text>
        <t>[Threaded comment]
Your version of Excel allows you to read this threaded comment; however, any edits to it will get removed if the file is opened in a newer version of Excel. Learn more: https://go.microsoft.com/fwlink/?linkid=870924
Comment:
    Working through site issues</t>
      </text>
    </comment>
    <comment ref="C38" authorId="8" shapeId="0" xr:uid="{BA90CD67-9DC6-48A2-90B6-11FFBAF88E69}">
      <text>
        <t>[Threaded comment]
Your version of Excel allows you to read this threaded comment; however, any edits to it will get removed if the file is opened in a newer version of Excel. Learn more: https://go.microsoft.com/fwlink/?linkid=870924
Comment:
    Finish out of existing building so may go faster
Reply:
    General Contractor to submit for AGC</t>
      </text>
    </comment>
    <comment ref="S38" authorId="2" shapeId="0" xr:uid="{E8FF71B7-2D2C-45DC-BBFB-8637C8F01FDA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Revised value</t>
        </r>
      </text>
    </comment>
    <comment ref="C42" authorId="9" shapeId="0" xr:uid="{E6455DFE-0136-4508-A05A-8A18D74D5B4E}">
      <text>
        <t>[Threaded comment]
Your version of Excel allows you to read this threaded comment; however, any edits to it will get removed if the file is opened in a newer version of Excel. Learn more: https://go.microsoft.com/fwlink/?linkid=870924
Comment:
    Peggy to set up project number</t>
      </text>
    </comment>
    <comment ref="C43" authorId="10" shapeId="0" xr:uid="{F78FBAEE-B93C-4DE7-97C3-A17BC7C61187}">
      <text>
        <t>[Threaded comment]
Your version of Excel allows you to read this threaded comment; however, any edits to it will get removed if the file is opened in a newer version of Excel. Learn more: https://go.microsoft.com/fwlink/?linkid=870924
Comment:
    Peggy to set up project number</t>
      </text>
    </comment>
    <comment ref="C44" authorId="11" shapeId="0" xr:uid="{1C2CD7DD-32B7-4911-81EE-7D627AAA303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Stand alone building on Santa Fe Developement
Reply:
    Peggy to set up project number</t>
      </text>
    </comment>
    <comment ref="C45" authorId="12" shapeId="0" xr:uid="{4D6A6C55-E269-4AA6-BE0C-1AF5A5C135FC}">
      <text>
        <t>[Threaded comment]
Your version of Excel allows you to read this threaded comment; however, any edits to it will get removed if the file is opened in a newer version of Excel. Learn more: https://go.microsoft.com/fwlink/?linkid=870924
Comment:
    Stand alone building on Santa Fe Developement
Reply:
    Peggy to set up project number</t>
      </text>
    </comment>
    <comment ref="C49" authorId="13" shapeId="0" xr:uid="{B32BFA18-1E3F-4AB0-9A14-6221EB88CC3D}">
      <text>
        <t>[Threaded comment]
Your version of Excel allows you to read this threaded comment; however, any edits to it will get removed if the file is opened in a newer version of Excel. Learn more: https://go.microsoft.com/fwlink/?linkid=870924
Comment:
    Will have a pilon sign</t>
      </text>
    </comment>
    <comment ref="C76" authorId="0" shapeId="0" xr:uid="{4BB12DC1-6CFA-4E02-B4AB-52EDD72618BB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Q76" authorId="0" shapeId="0" xr:uid="{09C9AEF0-E420-4E4C-ABF3-275154380471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C77" authorId="0" shapeId="0" xr:uid="{0634EF10-8BEA-47DF-9D69-960702A5CB7D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This deal is dead.</t>
        </r>
      </text>
    </comment>
    <comment ref="N77" authorId="14" shapeId="0" xr:uid="{9894B57D-0B84-42CC-AABC-6BBD060775A2}">
      <text>
        <t>[Threaded comment]
Your version of Excel allows you to read this threaded comment; however, any edits to it will get removed if the file is opened in a newer version of Excel. Learn more: https://go.microsoft.com/fwlink/?linkid=870924
Comment:
    Current Tenent has 30 Days to Vacate Upon Closing</t>
      </text>
    </comment>
    <comment ref="T77" authorId="0" shapeId="0" xr:uid="{9267841D-B913-4D4D-BA67-8EBDE316ED53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After land closing there is a 30 period for the former occupant to vacate. Must have permit to close on the land.</t>
        </r>
      </text>
    </comment>
    <comment ref="C79" authorId="0" shapeId="0" xr:uid="{51D765E9-D181-4BA2-BFEB-8E2BD137B995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Q79" authorId="0" shapeId="0" xr:uid="{BF262A23-66C0-47C2-A1ED-25BD51553472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U80" authorId="15" shapeId="0" xr:uid="{000274A9-5262-4BE2-8F4B-2C921272DD2A}">
      <text>
        <t>[Threaded comment]
Your version of Excel allows you to read this threaded comment; however, any edits to it will get removed if the file is opened in a newer version of Excel. Learn more: https://go.microsoft.com/fwlink/?linkid=870924
Comment:
    Has to complete prior to 2/1/2020.  Just Kids lease is expiring and they will not be granted extensions.</t>
      </text>
    </comment>
    <comment ref="U81" authorId="16" shapeId="0" xr:uid="{00773738-85DA-4D47-BCE1-86FBB73E02FD}">
      <text>
        <t>[Threaded comment]
Your version of Excel allows you to read this threaded comment; however, any edits to it will get removed if the file is opened in a newer version of Excel. Learn more: https://go.microsoft.com/fwlink/?linkid=870924
Comment:
    Has to complete prior to 2/1/2020.  Just Kids lease is expiring and they will not be granted extensions.</t>
      </text>
    </comment>
    <comment ref="U82" authorId="17" shapeId="0" xr:uid="{A4F7DF24-CA05-452E-A171-9ACA94E94BED}">
      <text>
        <t>[Threaded comment]
Your version of Excel allows you to read this threaded comment; however, any edits to it will get removed if the file is opened in a newer version of Excel. Learn more: https://go.microsoft.com/fwlink/?linkid=870924
Comment:
    Has to complete prior to 2/1/2020.  Just Kids lease is expiring and they will not be granted extensions.</t>
      </text>
    </comment>
    <comment ref="C86" authorId="0" shapeId="0" xr:uid="{88B5DF8C-89DB-4DF5-9895-9D06B8CE62EF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Q86" authorId="0" shapeId="0" xr:uid="{67E58D89-BEFA-4C96-9047-215321650D1A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C91" authorId="0" shapeId="0" xr:uid="{1982596A-CF44-411D-B3D6-3BD1C758D25B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This deal is dead.</t>
        </r>
      </text>
    </comment>
    <comment ref="C92" authorId="0" shapeId="0" xr:uid="{E63E2CC1-38CA-4DE5-8DC0-E5D83DCA07B7}">
      <text>
        <r>
          <rPr>
            <b/>
            <sz val="9"/>
            <color indexed="81"/>
            <rFont val="Tahoma"/>
            <family val="2"/>
          </rPr>
          <t>Trevor to get with Chris on turnover update to confirm he is good</t>
        </r>
      </text>
    </comment>
    <comment ref="Q92" authorId="0" shapeId="0" xr:uid="{98B034FF-A05A-4E65-9CDF-1D725BC13D64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U93" authorId="18" shapeId="0" xr:uid="{702A5F71-2CBC-4F6B-BD79-53C590C1EF69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sure if this date has changed
Reply:
    Testing to see what this does if I reply. Date will be 10/16</t>
      </text>
    </comment>
    <comment ref="C94" authorId="0" shapeId="0" xr:uid="{9720BF61-4560-40A4-834E-396C6A8FF1DD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This deal is dead.</t>
        </r>
      </text>
    </comment>
    <comment ref="N94" authorId="19" shapeId="0" xr:uid="{19A531EA-6F28-4DC2-A9A6-4EF5233777C3}">
      <text>
        <t>[Threaded comment]
Your version of Excel allows you to read this threaded comment; however, any edits to it will get removed if the file is opened in a newer version of Excel. Learn more: https://go.microsoft.com/fwlink/?linkid=870924
Comment:
    Pending Denver's approval to release CDs. CDs will take 4 weeks to develop from IDP approval.</t>
      </text>
    </comment>
    <comment ref="C95" authorId="0" shapeId="0" xr:uid="{3688FAA1-D240-4414-9B40-B8A035B3BFE9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This deal is dead.</t>
        </r>
      </text>
    </comment>
    <comment ref="N95" authorId="20" shapeId="0" xr:uid="{2DFD7EB4-1027-49A9-915E-C115E0E4C7D1}">
      <text>
        <t>[Threaded comment]
Your version of Excel allows you to read this threaded comment; however, any edits to it will get removed if the file is opened in a newer version of Excel. Learn more: https://go.microsoft.com/fwlink/?linkid=870924
Comment:
    Pending Denver's approval to release CDs. CDs will take 4 weeks to develop from IDP approval.</t>
      </text>
    </comment>
    <comment ref="Q99" authorId="21" shapeId="0" xr:uid="{DAE650CC-30AF-4462-BCFA-D1CCC037B976}">
      <text>
        <t>[Threaded comment]
Your version of Excel allows you to read this threaded comment; however, any edits to it will get removed if the file is opened in a newer version of Excel. Learn more: https://go.microsoft.com/fwlink/?linkid=870924
Comment:
    Building is exsisting</t>
      </text>
    </comment>
    <comment ref="C100" authorId="0" shapeId="0" xr:uid="{14B5943E-E2C3-4456-B71D-FC22B3C680B5}">
      <text>
        <r>
          <rPr>
            <sz val="9"/>
            <color indexed="81"/>
            <rFont val="Tahoma"/>
            <family val="2"/>
          </rPr>
          <t>Not Active</t>
        </r>
      </text>
    </comment>
    <comment ref="C101" authorId="0" shapeId="0" xr:uid="{881707DD-EDB0-4141-A21D-2163EAEF1147}">
      <text>
        <r>
          <rPr>
            <sz val="9"/>
            <color indexed="81"/>
            <rFont val="Tahoma"/>
            <family val="2"/>
          </rPr>
          <t>Not Active</t>
        </r>
      </text>
    </comment>
    <comment ref="C103" authorId="0" shapeId="0" xr:uid="{7F7B96FB-710F-43EC-BD9B-89CDD45EB50E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This deal is dead.</t>
        </r>
      </text>
    </comment>
    <comment ref="S104" authorId="2" shapeId="0" xr:uid="{C42E554E-7ED0-4BB0-B567-A2B0286EC587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Dead</t>
        </r>
      </text>
    </comment>
    <comment ref="C107" authorId="22" shapeId="0" xr:uid="{2583508E-DED9-473C-B2CE-71F9548A2846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May have died</t>
        </r>
      </text>
    </comment>
    <comment ref="S107" authorId="2" shapeId="0" xr:uid="{1D8DBA98-B5D4-4990-B66D-C942FAADB341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Dead
</t>
        </r>
      </text>
    </comment>
    <comment ref="A115" authorId="0" shapeId="0" xr:uid="{8CCC29DA-1BDD-4680-B104-12CA3597F19D}">
      <text>
        <r>
          <rPr>
            <b/>
            <sz val="9"/>
            <color indexed="81"/>
            <rFont val="Tahoma"/>
            <family val="2"/>
          </rPr>
          <t>Dead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Bobby Snyder</author>
    <author>Bob Snyder</author>
  </authors>
  <commentList>
    <comment ref="O14" authorId="0" shapeId="0" xr:uid="{627DB7B6-71B0-49A8-8F1A-87BFF199E808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Punchlist was conducted via facetime and all items have been completed. Final punch walk will occur in Sept with Rep from CA</t>
        </r>
      </text>
    </comment>
    <comment ref="B36" authorId="0" shapeId="0" xr:uid="{41D5FED4-3C55-45FB-8D51-74229CFE3B88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Existing Building</t>
        </r>
      </text>
    </comment>
    <comment ref="Q36" authorId="1" shapeId="0" xr:uid="{53543909-55EE-4A44-BF75-973A7EF3FF3A}">
      <text>
        <r>
          <rPr>
            <sz val="9"/>
            <color indexed="81"/>
            <rFont val="Tahoma"/>
            <family val="2"/>
          </rPr>
          <t>Existing Building</t>
        </r>
      </text>
    </comment>
    <comment ref="Q87" authorId="0" shapeId="0" xr:uid="{883275CD-9A57-4E23-9903-FFA59B995853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Project on Hold</t>
        </r>
      </text>
    </comment>
    <comment ref="Q138" authorId="0" shapeId="0" xr:uid="{F4F437A9-786E-4A6D-B7B4-41688D0C914F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Project on Hold</t>
        </r>
      </text>
    </comment>
    <comment ref="B139" authorId="0" shapeId="0" xr:uid="{426CDE89-D277-4B68-9DC3-93F4177DEB1C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Another GC built out this space.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Bobby Snyder</author>
    <author>Bob Snyder</author>
  </authors>
  <commentList>
    <comment ref="P14" authorId="0" shapeId="0" xr:uid="{A958C1FC-5F53-4CCE-9259-7563DCEF5CDB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Punchlist was conducted via facetime and all items have been completed. Final punch walk will occur in Sept with Rep from CA</t>
        </r>
      </text>
    </comment>
    <comment ref="B36" authorId="0" shapeId="0" xr:uid="{C477669E-E332-40CB-8534-29F003194AE7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Existing Building</t>
        </r>
      </text>
    </comment>
    <comment ref="R36" authorId="1" shapeId="0" xr:uid="{62116C51-9C4C-4D46-BEEB-6E6E4345771A}">
      <text>
        <r>
          <rPr>
            <sz val="9"/>
            <color indexed="81"/>
            <rFont val="Tahoma"/>
            <family val="2"/>
          </rPr>
          <t>Existing Building</t>
        </r>
      </text>
    </comment>
    <comment ref="R138" authorId="0" shapeId="0" xr:uid="{1A74E651-299F-4AFC-8E83-A0C5099B4492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Project on Hold</t>
        </r>
      </text>
    </comment>
    <comment ref="B139" authorId="0" shapeId="0" xr:uid="{A497C392-6E12-4AEE-B1B7-A935D2E1D037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Another GC built out this space.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Bobby Snyder</author>
    <author>Bob Snyder</author>
  </authors>
  <commentList>
    <comment ref="P14" authorId="0" shapeId="0" xr:uid="{C7DC7BED-95BE-43EC-A919-6169204C9F76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Punchlist was conducted via facetime and all items have been completed. Final punch walk will occur in Sept with Rep from CA</t>
        </r>
      </text>
    </comment>
    <comment ref="B36" authorId="0" shapeId="0" xr:uid="{25E2D328-9548-451E-AD39-F77711C34F55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Existing Building</t>
        </r>
      </text>
    </comment>
    <comment ref="R36" authorId="1" shapeId="0" xr:uid="{5EFDCE4A-3DCC-48B3-9743-D5C2E152DBC1}">
      <text>
        <r>
          <rPr>
            <sz val="9"/>
            <color indexed="81"/>
            <rFont val="Tahoma"/>
            <family val="2"/>
          </rPr>
          <t>Existing Building</t>
        </r>
      </text>
    </comment>
    <comment ref="R138" authorId="0" shapeId="0" xr:uid="{FF77D7C6-F89C-4B4D-93EB-0F1792DB1654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Project on Hold</t>
        </r>
      </text>
    </comment>
    <comment ref="B139" authorId="0" shapeId="0" xr:uid="{38750FDA-483A-4452-BCC1-0B4055AB5429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Another GC built out this space.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Bobby Snyder</author>
    <author>Bob Snyder</author>
    <author>Trevor Hayes</author>
  </authors>
  <commentList>
    <comment ref="T14" authorId="0" shapeId="0" xr:uid="{BB073C32-9FEE-4A7A-965B-148CD4506CD3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Punchlist was conducted via facetime and all items have been completed. Final punch walk will occur in Sept with Rep from CA</t>
        </r>
      </text>
    </comment>
    <comment ref="B36" authorId="0" shapeId="0" xr:uid="{5D2BE319-5B46-4653-BF0D-93B415516AB5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Existing Building</t>
        </r>
      </text>
    </comment>
    <comment ref="V36" authorId="1" shapeId="0" xr:uid="{516CB127-F840-44F2-BA16-1B78BC3D4355}">
      <text>
        <r>
          <rPr>
            <sz val="9"/>
            <color indexed="81"/>
            <rFont val="Tahoma"/>
            <family val="2"/>
          </rPr>
          <t>Existing Building</t>
        </r>
      </text>
    </comment>
    <comment ref="J125" authorId="2" shapeId="0" xr:uid="{111B307F-3AC3-4850-9C76-FB46B9660D82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Clock Started on 10/28
</t>
        </r>
      </text>
    </comment>
    <comment ref="B169" authorId="0" shapeId="0" xr:uid="{8443430B-A193-4BE4-B18E-361ADD13BF27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Another GC built out this space.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Bobby Snyder</author>
    <author>Bob Snyder</author>
    <author>Trevor Hayes</author>
  </authors>
  <commentList>
    <comment ref="U16" authorId="0" shapeId="0" xr:uid="{DDBA2EE6-6A9F-453D-9D51-5CF54AA5C1FA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Punchlist was conducted via facetime and all items have been completed. Final punch walk will occur in Sept with Rep from CA</t>
        </r>
      </text>
    </comment>
    <comment ref="B38" authorId="0" shapeId="0" xr:uid="{D0BFED1D-5A2C-4663-8DA7-23DFD53D1A66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Existing Building</t>
        </r>
      </text>
    </comment>
    <comment ref="X38" authorId="1" shapeId="0" xr:uid="{127E1EB6-8F5B-4402-97B1-7C5E0470D149}">
      <text>
        <r>
          <rPr>
            <sz val="9"/>
            <color indexed="81"/>
            <rFont val="Tahoma"/>
            <family val="2"/>
          </rPr>
          <t>Existing Building</t>
        </r>
      </text>
    </comment>
    <comment ref="M83" authorId="0" shapeId="0" xr:uid="{4F4C6BCC-7FAA-4937-A09A-586C54464C75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approval on additional parking for GI Alliance 2006-4</t>
        </r>
      </text>
    </comment>
    <comment ref="R99" authorId="0" shapeId="0" xr:uid="{7052BA7B-7326-4C12-AF42-59C61D6F69C2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Hard completion date prior to LDs</t>
        </r>
      </text>
    </comment>
    <comment ref="R100" authorId="0" shapeId="0" xr:uid="{E42B093D-966A-4EF3-B148-38C3E8AFA267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Hard completion date of Aug to prevent LDs</t>
        </r>
      </text>
    </comment>
    <comment ref="I108" authorId="0" shapeId="0" xr:uid="{02EB1947-6751-4AB2-9AA6-3B345B4AEE40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land until permit is in hand. Land close can be pushed</t>
        </r>
      </text>
    </comment>
    <comment ref="K108" authorId="0" shapeId="0" xr:uid="{DA94D943-4F07-4BD2-9365-41E006F00F69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Push design forward</t>
        </r>
      </text>
    </comment>
    <comment ref="I112" authorId="0" shapeId="0" xr:uid="{23A764EA-C0FD-45CC-A0AE-00FA9B2F630E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loan until permit is in hand</t>
        </r>
      </text>
    </comment>
    <comment ref="I115" authorId="0" shapeId="0" xr:uid="{EF1FE288-7578-4743-BDEA-77BB4C3FE319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loan until permit is in hand</t>
        </r>
      </text>
    </comment>
    <comment ref="K116" authorId="0" shapeId="0" xr:uid="{1851053C-FD83-4CB3-BE83-F9EB1A62DDDE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Add 6 months to permits on TI</t>
        </r>
      </text>
    </comment>
    <comment ref="K121" authorId="0" shapeId="0" xr:uid="{E637AD10-AC29-4BC0-B01E-D7F22D8EE061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Get early site release prior to full permit</t>
        </r>
      </text>
    </comment>
    <comment ref="K126" authorId="0" shapeId="0" xr:uid="{F6823E38-7BCC-478A-BEC4-47E9B1E7DB5A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a permit from Trevor</t>
        </r>
      </text>
    </comment>
    <comment ref="K130" authorId="0" shapeId="0" xr:uid="{1C6667A3-0587-4623-AB90-C9FC645E16A2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Cold dark shell</t>
        </r>
      </text>
    </comment>
    <comment ref="K131" authorId="2" shapeId="0" xr:uid="{3383AF47-9272-49E0-87D8-16352FD17F3F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Clock Started on 10/28
</t>
        </r>
      </text>
    </comment>
    <comment ref="K134" authorId="0" shapeId="0" xr:uid="{01BEBC74-4B74-4CB3-8870-938674E3C2C6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update from Trevor. 3' of undercut over entire site.</t>
        </r>
      </text>
    </comment>
    <comment ref="B180" authorId="0" shapeId="0" xr:uid="{598AC5F5-6B28-4AB1-A69B-6250D9B13F2A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Another GC built out this space.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Bobby Snyder</author>
    <author>Trevor Hayes</author>
  </authors>
  <commentList>
    <comment ref="B23" authorId="0" shapeId="0" xr:uid="{BE4DADE6-32E8-4195-9E40-C926C063B0AC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Existing Building</t>
        </r>
      </text>
    </comment>
    <comment ref="O37" authorId="0" shapeId="0" xr:uid="{93AD3C51-BCF5-4E3D-98D6-D0EC7BC9DE6A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SS to be moved prior to release of permit.</t>
        </r>
      </text>
    </comment>
    <comment ref="O43" authorId="0" shapeId="0" xr:uid="{464FC3D8-363F-4F1B-8D21-2AB37DA199A0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Variance meeting 2/1.
We have earthwork permit in hand.</t>
        </r>
      </text>
    </comment>
    <comment ref="O46" authorId="0" shapeId="0" xr:uid="{B51E4B6C-B4C1-4751-9082-CBA027F4742E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approval on additional parking for GI Alliance 2006-4</t>
        </r>
      </text>
    </comment>
    <comment ref="M49" authorId="0" shapeId="0" xr:uid="{34A4E016-CEE8-4A26-9FD1-A3324B0D0442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Cold dark shell</t>
        </r>
      </text>
    </comment>
    <comment ref="M52" authorId="0" shapeId="0" xr:uid="{F12598D9-E909-45E8-AE4D-240E299F20CD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Get early site release prior to full permit</t>
        </r>
      </text>
    </comment>
    <comment ref="M54" authorId="1" shapeId="0" xr:uid="{2E520761-4DE8-46AB-9414-629B9CCFEE38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Site plan application made 2/8. Can not submit until planning commision meeting.</t>
        </r>
      </text>
    </comment>
    <comment ref="U63" authorId="0" shapeId="0" xr:uid="{B2740697-8CF4-47E9-BC84-CC1E17EF4A7A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Open and opperating on 10/14/22</t>
        </r>
      </text>
    </comment>
    <comment ref="O66" authorId="0" shapeId="0" xr:uid="{C9DAD95E-0269-4EA2-9C68-41691E0101FB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We have earthwork permit in hand.</t>
        </r>
      </text>
    </comment>
    <comment ref="U66" authorId="0" shapeId="0" xr:uid="{C2D135BC-A65F-4FDC-885C-7C6EB447B5DD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Hard completion date of Aug to prevent LDs</t>
        </r>
      </text>
    </comment>
    <comment ref="K68" authorId="0" shapeId="0" xr:uid="{C1F4804E-9AB6-4AAC-8D7F-C785B5BF2D14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land until permit is in hand. Land close can be pushed</t>
        </r>
      </text>
    </comment>
    <comment ref="M68" authorId="0" shapeId="0" xr:uid="{E36A0059-BD82-4872-9A76-E11FFB273DAE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Push design forward</t>
        </r>
      </text>
    </comment>
    <comment ref="O68" authorId="1" shapeId="0" xr:uid="{23DA2452-A502-463E-B574-FBB99C925875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Demo Permit rcvd 2/9
</t>
        </r>
      </text>
    </comment>
    <comment ref="K72" authorId="0" shapeId="0" xr:uid="{81EE22BC-C311-47F0-95B6-E88D24368230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loan until permit is in hand
Lot Split</t>
        </r>
      </text>
    </comment>
    <comment ref="O72" authorId="1" shapeId="0" xr:uid="{65954070-6EBE-4329-B48E-C9E2128A262E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Title company needs to file lot split.  </t>
        </r>
      </text>
    </comment>
    <comment ref="K74" authorId="0" shapeId="0" xr:uid="{203B312D-899E-46A5-99CB-892CB8CAC3BD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Add 6 months to permits on TI</t>
        </r>
      </text>
    </comment>
    <comment ref="M74" authorId="0" shapeId="0" xr:uid="{995F4088-C095-44F0-B4F8-953EAC26B562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Add 6 months to permits on TI</t>
        </r>
      </text>
    </comment>
    <comment ref="K79" authorId="0" shapeId="0" xr:uid="{C329A969-F071-4D12-AB50-AF11E6DEBDAE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loan until permit is in hand</t>
        </r>
      </text>
    </comment>
    <comment ref="M87" authorId="0" shapeId="0" xr:uid="{2BFEC2CF-3A89-4F64-82FC-A6412FEC471B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a permit from Trevor</t>
        </r>
      </text>
    </comment>
    <comment ref="M92" authorId="1" shapeId="0" xr:uid="{80D26CD0-06F3-408B-98C3-171BE4157B14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Clock Started on 10/28
</t>
        </r>
      </text>
    </comment>
    <comment ref="M94" authorId="0" shapeId="0" xr:uid="{EDEC512A-BC71-4E3F-9AE6-55380CE734EC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update from Trevor. 3' of undercut over entire site. Need updated Civils to submit to SAWS
-Updated civils ready 2/18.
- Approvals needed: TCEQ, SAWS, Building Permit</t>
        </r>
      </text>
    </comment>
    <comment ref="B143" authorId="0" shapeId="0" xr:uid="{A16A89E1-CD14-42F4-AD8C-FEB877A2DD0B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Another GC built out this space.</t>
        </r>
      </text>
    </comment>
    <comment ref="U159" authorId="0" shapeId="0" xr:uid="{C7B6FC80-25F0-43B1-AB6B-66C32F1B48F3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Hard completion date prior to LDs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Bobby Snyder</author>
    <author>Trevor Hayes</author>
  </authors>
  <commentList>
    <comment ref="B23" authorId="0" shapeId="0" xr:uid="{42A23E47-7937-48CC-BE53-74ECBCF1840E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Existing Building</t>
        </r>
      </text>
    </comment>
    <comment ref="O37" authorId="0" shapeId="0" xr:uid="{BE96D11A-F97F-43EC-A71C-48B8290BB552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SS to be moved prior to release of permit.</t>
        </r>
      </text>
    </comment>
    <comment ref="O43" authorId="0" shapeId="0" xr:uid="{BC7EDCE9-D213-4AE8-A8B1-DE3C8BADB51E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Variance meeting 2/1.
We have earthwork permit in hand.</t>
        </r>
      </text>
    </comment>
    <comment ref="O46" authorId="0" shapeId="0" xr:uid="{7087BD20-DEB5-4B99-9EBB-8664D826C5C8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approval on additional parking for GI Alliance 2006-4</t>
        </r>
      </text>
    </comment>
    <comment ref="M49" authorId="0" shapeId="0" xr:uid="{58B1B187-83F3-4CA4-81A5-1BDCFD63E276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Cold dark shell</t>
        </r>
      </text>
    </comment>
    <comment ref="M52" authorId="0" shapeId="0" xr:uid="{46722F11-4C9E-4EB0-B3EC-2770B399A230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Get early site release prior to full permit</t>
        </r>
      </text>
    </comment>
    <comment ref="M54" authorId="1" shapeId="0" xr:uid="{59B30852-3D80-485B-B0FC-57B2F2E8B487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Site plan application made 2/8. Can not submit until planning commision meeting.</t>
        </r>
      </text>
    </comment>
    <comment ref="O63" authorId="0" shapeId="0" xr:uid="{068710C2-BBC9-4C00-BF3F-45ADEDAA084F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The sewer easement is holding up the permit</t>
        </r>
      </text>
    </comment>
    <comment ref="U63" authorId="0" shapeId="0" xr:uid="{6495FBBB-7C38-4B8D-8A39-5B1C3DE6B181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Open and opperating on 10/14/22. We have communicated with JackBe that this completion date may be in jepordy.</t>
        </r>
      </text>
    </comment>
    <comment ref="O66" authorId="0" shapeId="0" xr:uid="{B25F909A-EE4B-4B97-84B0-C7A15871A381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We have earthwork permit in hand.</t>
        </r>
      </text>
    </comment>
    <comment ref="U66" authorId="0" shapeId="0" xr:uid="{36F25569-4D0B-4103-93E7-1D827736FC91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Hard completion date of Aug to prevent LDs</t>
        </r>
      </text>
    </comment>
    <comment ref="K68" authorId="0" shapeId="0" xr:uid="{E4AF5B24-36B5-42C9-93F1-2A2B6A7500FF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land until permit is in hand. Land close can be pushed</t>
        </r>
      </text>
    </comment>
    <comment ref="M68" authorId="0" shapeId="0" xr:uid="{3003F80D-D5B3-42A3-A207-9A70BAD96BBA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Push design forward</t>
        </r>
      </text>
    </comment>
    <comment ref="O68" authorId="1" shapeId="0" xr:uid="{4090A508-22A3-46A5-A8DF-3DAF1E06AA4E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Demo Permit rcvd 2/9
</t>
        </r>
      </text>
    </comment>
    <comment ref="K72" authorId="0" shapeId="0" xr:uid="{F0E38622-E081-4228-A2AE-D55223DEEA9C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loan until permit is in hand
Lot Split</t>
        </r>
      </text>
    </comment>
    <comment ref="O72" authorId="1" shapeId="0" xr:uid="{515631F7-2F86-4F8B-87EF-04A8C0593115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Title company needs to file lot split.  </t>
        </r>
      </text>
    </comment>
    <comment ref="K74" authorId="0" shapeId="0" xr:uid="{B790D9E3-E3CE-4B73-81E3-03F8D3B9A0B9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Add 6 months to permits on TI</t>
        </r>
      </text>
    </comment>
    <comment ref="M74" authorId="0" shapeId="0" xr:uid="{AC670C5F-65A1-4E5C-9CE9-9F2AC883AAC5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Add 6 months to permits on TI</t>
        </r>
      </text>
    </comment>
    <comment ref="K79" authorId="0" shapeId="0" xr:uid="{D0E0B32D-F426-433A-A491-3B318CEE5C62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loan until permit is in hand</t>
        </r>
      </text>
    </comment>
    <comment ref="M87" authorId="0" shapeId="0" xr:uid="{9D5F080B-8F09-485B-A7AF-459FDCCFB511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a permit from Trevor</t>
        </r>
      </text>
    </comment>
    <comment ref="M92" authorId="1" shapeId="0" xr:uid="{60675069-BF3A-4675-8A1F-85E724CA3725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Clock Started on 10/28
</t>
        </r>
      </text>
    </comment>
    <comment ref="M94" authorId="0" shapeId="0" xr:uid="{ADF6D7B7-DEAE-46FF-8388-5AD7B9BC50BD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update from Trevor. 3' of undercut over entire site. Need updated Civils to submit to SAWS
-Updated civils ready 2/18.
- Approvals needed: TCEQ, SAWS, Building Permit</t>
        </r>
      </text>
    </comment>
    <comment ref="B139" authorId="0" shapeId="0" xr:uid="{7396D02E-B5AB-48A6-B925-B46D82813721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Another GC built out this space.</t>
        </r>
      </text>
    </comment>
    <comment ref="U155" authorId="0" shapeId="0" xr:uid="{66B30282-B121-41A8-B14E-2746B6DAABE7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Hard completion date prior to LDs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Bobby Snyder</author>
    <author>Trevor Hayes</author>
  </authors>
  <commentList>
    <comment ref="J13" authorId="0" shapeId="0" xr:uid="{05DB956D-D1E6-4266-AABA-B9E91EE4295D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land until permit is in hand. Land close can be pushed</t>
        </r>
      </text>
    </comment>
    <comment ref="L13" authorId="0" shapeId="0" xr:uid="{DE63D934-EEB5-4DC3-BCAD-CCE07FC21345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Push design forward</t>
        </r>
      </text>
    </comment>
    <comment ref="N13" authorId="1" shapeId="0" xr:uid="{5DBE433F-A2F7-4FCB-83C5-58892B3EDA76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Demo Permit rcvd 2/9
</t>
        </r>
      </text>
    </comment>
    <comment ref="J17" authorId="0" shapeId="0" xr:uid="{0109F7C4-DA48-4CAF-ADA0-A5088966CD02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loan until permit is in hand</t>
        </r>
      </text>
    </comment>
    <comment ref="L25" authorId="0" shapeId="0" xr:uid="{53492F1C-DA54-4F9B-977C-AB902994FB06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Get early site release prior to full permit</t>
        </r>
      </text>
    </comment>
    <comment ref="B27" authorId="0" shapeId="0" xr:uid="{92211F02-B87B-44CE-834A-1639EFE4CA60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Existing Building</t>
        </r>
      </text>
    </comment>
    <comment ref="T29" authorId="0" shapeId="0" xr:uid="{08B3F8DC-5354-4ADF-B226-AE216A361A51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Hard completion date of Aug to prevent LDs</t>
        </r>
      </text>
    </comment>
    <comment ref="J30" authorId="0" shapeId="0" xr:uid="{8F92E60D-470F-4BC1-9714-E1D0D0D7F707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loan until permit is in hand
Lot Split</t>
        </r>
      </text>
    </comment>
    <comment ref="N30" authorId="1" shapeId="0" xr:uid="{BA15087A-47EF-450E-B8CC-F0D37F980300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Title company needs to file lot split.  </t>
        </r>
      </text>
    </comment>
    <comment ref="S30" authorId="0" shapeId="0" xr:uid="{6F81382D-6CAA-403F-B202-687F883804E8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start work until the ok from DG</t>
        </r>
      </text>
    </comment>
    <comment ref="J31" authorId="0" shapeId="0" xr:uid="{BF829CD7-7132-4DAD-89E4-05A8364F7735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Add 6 months to permits on TI</t>
        </r>
      </text>
    </comment>
    <comment ref="L31" authorId="0" shapeId="0" xr:uid="{2BD604F7-5828-4191-9428-64742E09A630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Add 6 months to permits on TI</t>
        </r>
      </text>
    </comment>
    <comment ref="N54" authorId="0" shapeId="0" xr:uid="{E6103C17-2513-4257-947A-17E607315155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The sewer easement is holding up the permit</t>
        </r>
      </text>
    </comment>
    <comment ref="T54" authorId="0" shapeId="0" xr:uid="{2D86B922-7E93-42B1-9F12-9C464A379ECB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Open and opperating on 10/14/22. We have communicated with JackBe that this completion date may be in jepordy.</t>
        </r>
      </text>
    </comment>
    <comment ref="N56" authorId="0" shapeId="0" xr:uid="{72650536-3E2C-4C7B-A679-FA23FC39BB63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SS to be moved prior to release of permit.</t>
        </r>
      </text>
    </comment>
    <comment ref="L61" authorId="1" shapeId="0" xr:uid="{76DC778C-FB33-47C2-8D6B-361AC4039936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Site plan application made 2/8. Can not submit until planning commision meeting.</t>
        </r>
      </text>
    </comment>
    <comment ref="N63" authorId="0" shapeId="0" xr:uid="{30813AFE-E9AC-433F-B434-ABFA518E28CC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Variance meeting 2/1.
We have earthwork permit in hand.</t>
        </r>
      </text>
    </comment>
    <comment ref="N66" authorId="0" shapeId="0" xr:uid="{B434EC5A-8D70-4735-B902-81EE8E09E227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approval on additional parking for GI Alliance 2006-4</t>
        </r>
      </text>
    </comment>
    <comment ref="L69" authorId="0" shapeId="0" xr:uid="{A151E8A7-18F0-4F52-B3C5-484521CB76D4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a permit from Trevor</t>
        </r>
      </text>
    </comment>
    <comment ref="L70" authorId="0" shapeId="0" xr:uid="{30DEAA4E-BC32-47B8-84F3-31F4DE1C7579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Cold dark shell</t>
        </r>
      </text>
    </comment>
    <comment ref="L75" authorId="1" shapeId="0" xr:uid="{40DC2D9B-3822-4DAB-A8C5-7E9D551BDD28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Clock Started on 10/28
</t>
        </r>
      </text>
    </comment>
    <comment ref="L84" authorId="0" shapeId="0" xr:uid="{34307D87-0B3E-4B9A-A3ED-C0474693941F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update from Trevor. 3' of undercut over entire site. Need updated Civils to submit to SAWS
-Updated civils ready 2/18.
- Approvals needed: TCEQ, SAWS, Building Permit</t>
        </r>
      </text>
    </comment>
    <comment ref="T93" authorId="0" shapeId="0" xr:uid="{F68480F8-C2A3-4365-8F27-53C5DD5A4A0C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Must complete by 10/01/22</t>
        </r>
      </text>
    </comment>
    <comment ref="B128" authorId="0" shapeId="0" xr:uid="{E58FE43E-E0CF-4439-9A7D-772682A27503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Another GC built out this space.</t>
        </r>
      </text>
    </comment>
    <comment ref="T144" authorId="0" shapeId="0" xr:uid="{0D6C4D68-ACAD-4FBA-BF78-0AF2C3EFB1C2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Hard completion date prior to LDs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Bobby Snyder</author>
    <author>Trevor Hayes</author>
    <author>Brandon Chaney</author>
  </authors>
  <commentList>
    <comment ref="K13" authorId="0" shapeId="0" xr:uid="{6AE71343-4915-4722-9CDC-350C39F1648B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land until permit is in hand. Land close can be pushed</t>
        </r>
      </text>
    </comment>
    <comment ref="M13" authorId="0" shapeId="0" xr:uid="{4F739290-D703-4D4E-A2ED-9465F0FC6C4B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Push design forward</t>
        </r>
      </text>
    </comment>
    <comment ref="O13" authorId="1" shapeId="0" xr:uid="{E612EE1C-9BE9-471A-8C6B-3DCFA7B08D87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Demo Permit rcvd 2/9
</t>
        </r>
      </text>
    </comment>
    <comment ref="K17" authorId="0" shapeId="0" xr:uid="{B98AB0DC-D756-4F75-A029-937203A76E98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loan until permit is in hand</t>
        </r>
      </text>
    </comment>
    <comment ref="M25" authorId="0" shapeId="0" xr:uid="{3238503A-42AB-4795-BB10-514A1D08C3C4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Get early site release prior to full permit</t>
        </r>
      </text>
    </comment>
    <comment ref="B27" authorId="0" shapeId="0" xr:uid="{3F700A95-16CD-4F1D-96BE-C20BBFBB557F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Existing Building</t>
        </r>
      </text>
    </comment>
    <comment ref="U29" authorId="0" shapeId="0" xr:uid="{C43443AC-C54D-4FEA-9A7E-2A4E2CE859F8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Hard completion date of Aug to prevent LDs</t>
        </r>
      </text>
    </comment>
    <comment ref="K30" authorId="0" shapeId="0" xr:uid="{BCD7D949-5410-4A99-AED8-8BCBAA1E2031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close loan until permit is in hand
Lot Split</t>
        </r>
      </text>
    </comment>
    <comment ref="O30" authorId="1" shapeId="0" xr:uid="{3892D20D-3495-4FA2-BA57-17E1B6484241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Title company needs to file lot split.  </t>
        </r>
      </text>
    </comment>
    <comment ref="T30" authorId="0" shapeId="0" xr:uid="{247754D1-EDA2-4E10-9FCB-E8A04D484E7B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Don't start work until the ok from DG</t>
        </r>
      </text>
    </comment>
    <comment ref="K31" authorId="0" shapeId="0" xr:uid="{09B1BB27-21F7-4276-B499-9408978C5841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Add 6 months to permits on TI</t>
        </r>
      </text>
    </comment>
    <comment ref="M31" authorId="0" shapeId="0" xr:uid="{0ACC3BC2-156A-468A-979F-93ADF56B1B58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Add 6 months to permits on TI</t>
        </r>
      </text>
    </comment>
    <comment ref="O54" authorId="0" shapeId="0" xr:uid="{FA79880F-7861-4DA4-A32B-CBC70C185ABA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The sewer easement is holding up the permit</t>
        </r>
      </text>
    </comment>
    <comment ref="U54" authorId="0" shapeId="0" xr:uid="{BDA254F4-9297-4C24-A60F-F075A57A0B5C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Open and opperating on 10/14/22. We have communicated with JackBe that this completion date may be in jepordy.</t>
        </r>
      </text>
    </comment>
    <comment ref="O56" authorId="0" shapeId="0" xr:uid="{C1FE486A-A60A-429C-8DB7-B87E0F483957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SS to be moved prior to release of permit.</t>
        </r>
      </text>
    </comment>
    <comment ref="M61" authorId="1" shapeId="0" xr:uid="{B21C19BD-0517-48D2-ACB8-194612411882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Site plan application made 2/8. Can not submit until planning commision meeting.</t>
        </r>
      </text>
    </comment>
    <comment ref="O63" authorId="0" shapeId="0" xr:uid="{F83BF938-647A-491E-ACD9-2977CE8597C3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Variance meeting 2/1.
We have earthwork permit in hand.</t>
        </r>
      </text>
    </comment>
    <comment ref="O66" authorId="0" shapeId="0" xr:uid="{9890D8DB-E566-4982-B509-7E30846D49A6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approval on additional parking for GI Alliance 2006-4</t>
        </r>
      </text>
    </comment>
    <comment ref="M69" authorId="0" shapeId="0" xr:uid="{26C46833-A529-492F-85A7-10E3BE554813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Cold dark shell</t>
        </r>
      </text>
    </comment>
    <comment ref="M70" authorId="0" shapeId="0" xr:uid="{C28B9D45-3107-487B-AE2E-56B8CE8F8A86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a permit from Trevor</t>
        </r>
      </text>
    </comment>
    <comment ref="M75" authorId="1" shapeId="0" xr:uid="{C3723A6A-1C42-4F8E-9A4C-1536961DA910}">
      <text>
        <r>
          <rPr>
            <b/>
            <sz val="9"/>
            <color indexed="81"/>
            <rFont val="Tahoma"/>
            <family val="2"/>
          </rPr>
          <t>Trevor Hayes:</t>
        </r>
        <r>
          <rPr>
            <sz val="9"/>
            <color indexed="81"/>
            <rFont val="Tahoma"/>
            <family val="2"/>
          </rPr>
          <t xml:space="preserve">
Clock Started on 10/28
</t>
        </r>
      </text>
    </comment>
    <comment ref="O79" authorId="2" shapeId="0" xr:uid="{4E7823FF-0179-4111-8885-72BDB88FDB4B}">
      <text>
        <r>
          <rPr>
            <b/>
            <sz val="9"/>
            <color indexed="81"/>
            <rFont val="Tahoma"/>
            <family val="2"/>
          </rPr>
          <t>Brandon Chaney:</t>
        </r>
        <r>
          <rPr>
            <sz val="9"/>
            <color indexed="81"/>
            <rFont val="Tahoma"/>
            <family val="2"/>
          </rPr>
          <t xml:space="preserve">
On Hold Per Denver</t>
        </r>
      </text>
    </comment>
    <comment ref="M84" authorId="0" shapeId="0" xr:uid="{7E0F8A26-C8B9-497C-A62B-037A0C49C7B3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Need update from Trevor. 3' of undercut over entire site. Need updated Civils to submit to SAWS
-Updated civils ready 2/18.
- Approvals needed: TCEQ, SAWS, Building Permit</t>
        </r>
      </text>
    </comment>
    <comment ref="U92" authorId="0" shapeId="0" xr:uid="{68F858A5-938B-4981-A631-FCFB0B83E97A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Must complete by 10/01/22</t>
        </r>
      </text>
    </comment>
    <comment ref="U93" authorId="2" shapeId="0" xr:uid="{754FBA2A-F5D6-4846-B548-76BE5B8D2585}">
      <text>
        <r>
          <rPr>
            <b/>
            <sz val="9"/>
            <color indexed="81"/>
            <rFont val="Tahoma"/>
            <family val="2"/>
          </rPr>
          <t>Brandon Chaney:</t>
        </r>
        <r>
          <rPr>
            <sz val="9"/>
            <color indexed="81"/>
            <rFont val="Tahoma"/>
            <family val="2"/>
          </rPr>
          <t xml:space="preserve">
Hard date per Denver 6-30-22</t>
        </r>
      </text>
    </comment>
    <comment ref="B128" authorId="0" shapeId="0" xr:uid="{759E14EC-0D10-4F4D-B59E-FE5D073933E1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Another GC built out this space.</t>
        </r>
      </text>
    </comment>
    <comment ref="U144" authorId="0" shapeId="0" xr:uid="{A52B2FDD-90D8-4AF4-BC2A-5C7C15D1374D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Hard completion date prior to LDs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Snyder</author>
  </authors>
  <commentList>
    <comment ref="B27" authorId="0" shapeId="0" xr:uid="{9EBD2D44-F468-49F6-AA39-57185E5D56D9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I35" authorId="0" shapeId="0" xr:uid="{E162E37B-6C61-4BEF-BF09-D3A327FC23EA}">
      <text>
        <r>
          <rPr>
            <sz val="9"/>
            <color indexed="81"/>
            <rFont val="Tahoma"/>
            <family val="2"/>
          </rPr>
          <t>Existing Building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Snyder</author>
  </authors>
  <commentList>
    <comment ref="B27" authorId="0" shapeId="0" xr:uid="{D39F32A7-8535-4BB9-BC74-2DD181556AF2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I35" authorId="0" shapeId="0" xr:uid="{74CDEE60-ED29-4C22-AD7A-DEC1F7A90751}">
      <text>
        <r>
          <rPr>
            <sz val="9"/>
            <color indexed="81"/>
            <rFont val="Tahoma"/>
            <family val="2"/>
          </rPr>
          <t>Existing Building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Snyder</author>
  </authors>
  <commentList>
    <comment ref="B23" authorId="0" shapeId="0" xr:uid="{A446A250-587E-4A09-877F-EC77EA5E1A38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I31" authorId="0" shapeId="0" xr:uid="{E2CB329D-50DF-48B1-94A9-63B775BCDB32}">
      <text>
        <r>
          <rPr>
            <sz val="9"/>
            <color indexed="81"/>
            <rFont val="Tahoma"/>
            <family val="2"/>
          </rPr>
          <t>Existing Building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Snyder</author>
  </authors>
  <commentList>
    <comment ref="B23" authorId="0" shapeId="0" xr:uid="{88D55ED6-9467-429E-8CDE-EFD49524E793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I31" authorId="0" shapeId="0" xr:uid="{8094EA59-D4D3-4286-BB49-3D91C220A930}">
      <text>
        <r>
          <rPr>
            <sz val="9"/>
            <color indexed="81"/>
            <rFont val="Tahoma"/>
            <family val="2"/>
          </rPr>
          <t>Existing Building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Snyder</author>
  </authors>
  <commentList>
    <comment ref="B26" authorId="0" shapeId="0" xr:uid="{04784F7B-04D1-4EDE-9E1D-A22F259F935F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I34" authorId="0" shapeId="0" xr:uid="{186F08D5-53E7-45AA-AFD9-CB8D38D26B0E}">
      <text>
        <r>
          <rPr>
            <sz val="9"/>
            <color indexed="81"/>
            <rFont val="Tahoma"/>
            <family val="2"/>
          </rPr>
          <t>Existing Building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Snyder</author>
  </authors>
  <commentList>
    <comment ref="B31" authorId="0" shapeId="0" xr:uid="{34B04DF5-A4DF-4A5A-BFE2-1FD2A44D8A0C}">
      <text>
        <r>
          <rPr>
            <b/>
            <sz val="9"/>
            <color indexed="81"/>
            <rFont val="Tahoma"/>
            <family val="2"/>
          </rPr>
          <t>Bob Snyder:</t>
        </r>
        <r>
          <rPr>
            <sz val="9"/>
            <color indexed="81"/>
            <rFont val="Tahoma"/>
            <family val="2"/>
          </rPr>
          <t xml:space="preserve">
Delayed due to Archaelogical Review</t>
        </r>
      </text>
    </comment>
    <comment ref="I39" authorId="0" shapeId="0" xr:uid="{9193E8F4-23A6-4A1E-AEA8-756BF47063E9}">
      <text>
        <r>
          <rPr>
            <sz val="9"/>
            <color indexed="81"/>
            <rFont val="Tahoma"/>
            <family val="2"/>
          </rPr>
          <t>Existing Building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Bobby Snyder</author>
    <author>Bob Snyder</author>
  </authors>
  <commentList>
    <comment ref="I30" authorId="0" shapeId="0" xr:uid="{EA4A7241-84B7-4A88-B278-0599CB91F653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Project on Hold</t>
        </r>
      </text>
    </comment>
    <comment ref="I31" authorId="1" shapeId="0" xr:uid="{2BBF76BD-AEB0-4BA3-BFC1-CF23FCF6834E}">
      <text>
        <r>
          <rPr>
            <sz val="9"/>
            <color indexed="81"/>
            <rFont val="Tahoma"/>
            <family val="2"/>
          </rPr>
          <t>Existing Building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Bobby Snyder</author>
    <author>Bob Snyder</author>
  </authors>
  <commentList>
    <comment ref="I37" authorId="0" shapeId="0" xr:uid="{1E42E2FB-E6CA-479E-9C3D-ECA4CB85FE9B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Project on Hold</t>
        </r>
      </text>
    </comment>
    <comment ref="I78" authorId="1" shapeId="0" xr:uid="{BCC1E141-5F1F-441B-9648-2521BDDEFB2D}">
      <text>
        <r>
          <rPr>
            <sz val="9"/>
            <color indexed="81"/>
            <rFont val="Tahoma"/>
            <family val="2"/>
          </rPr>
          <t>Existing Building</t>
        </r>
      </text>
    </comment>
    <comment ref="I79" authorId="0" shapeId="0" xr:uid="{300B5C39-ACC4-4A1E-B48F-EA9EE0E46C8B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On Hold</t>
        </r>
      </text>
    </comment>
    <comment ref="I80" authorId="0" shapeId="0" xr:uid="{224B1EA7-ED10-41F2-B1CB-0E3A888F224E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On Hold</t>
        </r>
      </text>
    </comment>
    <comment ref="I81" authorId="0" shapeId="0" xr:uid="{C71ECC5E-EE78-46D7-8556-416A22DCF6F6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On Hold</t>
        </r>
      </text>
    </comment>
    <comment ref="I82" authorId="0" shapeId="0" xr:uid="{616A9A8E-1E71-4B7B-9B2B-A7794BC81FD1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On Hold</t>
        </r>
      </text>
    </comment>
    <comment ref="I106" authorId="0" shapeId="0" xr:uid="{2216BA3A-267E-4645-A2CE-EC0DABDE27EF}">
      <text>
        <r>
          <rPr>
            <b/>
            <sz val="9"/>
            <color indexed="81"/>
            <rFont val="Tahoma"/>
            <family val="2"/>
          </rPr>
          <t>Bobby Snyder:</t>
        </r>
        <r>
          <rPr>
            <sz val="9"/>
            <color indexed="81"/>
            <rFont val="Tahoma"/>
            <family val="2"/>
          </rPr>
          <t xml:space="preserve">
DEAD</t>
        </r>
      </text>
    </comment>
  </commentList>
</comments>
</file>

<file path=xl/sharedStrings.xml><?xml version="1.0" encoding="utf-8"?>
<sst xmlns="http://schemas.openxmlformats.org/spreadsheetml/2006/main" count="16815" uniqueCount="956">
  <si>
    <t>JOB NUMBER</t>
  </si>
  <si>
    <t>Development</t>
  </si>
  <si>
    <t>PROJECT</t>
  </si>
  <si>
    <t>ADDRESS</t>
  </si>
  <si>
    <t>PROJECT MANAGER</t>
  </si>
  <si>
    <t>SUPERINTENDENT</t>
  </si>
  <si>
    <t>Builders Risk Expires</t>
  </si>
  <si>
    <t xml:space="preserve">Entity Owning </t>
  </si>
  <si>
    <t>Deal Structure</t>
  </si>
  <si>
    <t>LOI / Lease
Date</t>
  </si>
  <si>
    <t>Close Date</t>
  </si>
  <si>
    <t>Lender</t>
  </si>
  <si>
    <t>Status</t>
  </si>
  <si>
    <t>Permit Submitted Date</t>
  </si>
  <si>
    <t>Permit Approval Date</t>
  </si>
  <si>
    <t>Permit Approval Time Frame</t>
  </si>
  <si>
    <t>Construction Value</t>
  </si>
  <si>
    <t>Start Date</t>
  </si>
  <si>
    <t>Completion Date</t>
  </si>
  <si>
    <t>Duration in Months</t>
  </si>
  <si>
    <t>CO Date</t>
  </si>
  <si>
    <t>Punchlist Complete</t>
  </si>
  <si>
    <t>Lessons Learned</t>
  </si>
  <si>
    <t>OK2020-1</t>
  </si>
  <si>
    <t>N/A</t>
  </si>
  <si>
    <t>Western Shell</t>
  </si>
  <si>
    <t>11521 South Western Ave., OKC, OK 73170</t>
  </si>
  <si>
    <t>Adam England</t>
  </si>
  <si>
    <t>Daniel Frary</t>
  </si>
  <si>
    <t xml:space="preserve">AG Western RE Holdings, LLC </t>
  </si>
  <si>
    <t xml:space="preserve">JV </t>
  </si>
  <si>
    <t>OK2020-2</t>
  </si>
  <si>
    <t>Western - Scammahorn</t>
  </si>
  <si>
    <t>OK2020-3</t>
  </si>
  <si>
    <t>Western - Dr. Olsen</t>
  </si>
  <si>
    <t>OK2024</t>
  </si>
  <si>
    <t>Bodyworx</t>
  </si>
  <si>
    <t>9201 S. Sooner Rd., Suite E, OKC 73135</t>
  </si>
  <si>
    <t>John Stroud</t>
  </si>
  <si>
    <t xml:space="preserve">King Fisher Holdings, LLC </t>
  </si>
  <si>
    <t xml:space="preserve">GMP </t>
  </si>
  <si>
    <t>OK2031</t>
  </si>
  <si>
    <t>T-Mobile - Guthrie</t>
  </si>
  <si>
    <t>1904 S Division Street, Guthrie, OK 73044</t>
  </si>
  <si>
    <t>Josh Williams</t>
  </si>
  <si>
    <t>TBD</t>
  </si>
  <si>
    <t>Construction</t>
  </si>
  <si>
    <t>OK2039</t>
  </si>
  <si>
    <t>Rockwell Daycare</t>
  </si>
  <si>
    <t>OK1926</t>
  </si>
  <si>
    <t>Hunter's Pharmacy</t>
  </si>
  <si>
    <t>10120 Broadway Ext., OKC 73114</t>
  </si>
  <si>
    <t>Bob Solomon</t>
  </si>
  <si>
    <t>Dale Smith / Dylan Ashley</t>
  </si>
  <si>
    <t xml:space="preserve">AG Kimbaco RE Holdings, LLC </t>
  </si>
  <si>
    <t>OK2006</t>
  </si>
  <si>
    <t>Enhanced Dental - El Reno</t>
  </si>
  <si>
    <t>1601 Investors Ave., El Reno, OK 73036</t>
  </si>
  <si>
    <t xml:space="preserve">ERD Investment Properties, LLC </t>
  </si>
  <si>
    <t>Cost+</t>
  </si>
  <si>
    <t>OK2016</t>
  </si>
  <si>
    <t>One Core Health</t>
  </si>
  <si>
    <t>100 NE 85th Street, OKC, OK 73114</t>
  </si>
  <si>
    <t>Dion Hall / Anthony Fox</t>
  </si>
  <si>
    <t xml:space="preserve">TAG OneCore RE Holdings, LLC </t>
  </si>
  <si>
    <t>OK1936</t>
  </si>
  <si>
    <t>Dr. Fischer</t>
  </si>
  <si>
    <t>720 West 71St Street S, Tulsa, OK 74132</t>
  </si>
  <si>
    <t>Chris Goldsmith</t>
  </si>
  <si>
    <t>Gary Clinton</t>
  </si>
  <si>
    <t xml:space="preserve">AG Medical RE Holdings, LLC </t>
  </si>
  <si>
    <t>OK1936-TI</t>
  </si>
  <si>
    <t>Dr. Fischer TI</t>
  </si>
  <si>
    <t>PreConstruction</t>
  </si>
  <si>
    <t>OK2001</t>
  </si>
  <si>
    <t>61st</t>
  </si>
  <si>
    <t>61st Development</t>
  </si>
  <si>
    <t>9035 E. 61st Street, Tulsa, OK 74145</t>
  </si>
  <si>
    <t>OK2004</t>
  </si>
  <si>
    <t>Dr. LoScuito - 61st St. Dev.</t>
  </si>
  <si>
    <t xml:space="preserve">Kickapoo RE Holdings, LLC </t>
  </si>
  <si>
    <t>COMPLETE</t>
  </si>
  <si>
    <t>OK2018</t>
  </si>
  <si>
    <t>Dr. Sandra Mackey - 61st St. Dev.</t>
  </si>
  <si>
    <t>OK2022</t>
  </si>
  <si>
    <t>Just Kids - 61st St. Dev.</t>
  </si>
  <si>
    <t xml:space="preserve">AG JKP RE Holdings, LLC </t>
  </si>
  <si>
    <t xml:space="preserve">OK2008 </t>
  </si>
  <si>
    <t>Dr. Mark Gaches, DDS - Owasso</t>
  </si>
  <si>
    <t>11492 N. 137th E. Ave., Owasso, OK</t>
  </si>
  <si>
    <t>Processing</t>
  </si>
  <si>
    <t xml:space="preserve">AG Hi Point RE Holdings, LLC </t>
  </si>
  <si>
    <t>OK2014</t>
  </si>
  <si>
    <t>Clark Shell</t>
  </si>
  <si>
    <t>7877 E 71st South., Tulsa, OK 74133</t>
  </si>
  <si>
    <t xml:space="preserve">AG Clark RE Holdings, LLC </t>
  </si>
  <si>
    <t>OK2014-1</t>
  </si>
  <si>
    <t>Clark Shell - Dr. Pfeffer</t>
  </si>
  <si>
    <t>7877 E 71st South Ste A, Tulsa, OK 74133</t>
  </si>
  <si>
    <t>OK2014-2</t>
  </si>
  <si>
    <t>Clark Shell - Enhance DDS</t>
  </si>
  <si>
    <t>7877 E 71st South Ste B., Tulsa, OK 74133</t>
  </si>
  <si>
    <t>OK2032-1</t>
  </si>
  <si>
    <t>Cross Roads - Shell</t>
  </si>
  <si>
    <t>1168 N. 38th Street, Broken Arrow, OK 74014</t>
  </si>
  <si>
    <t xml:space="preserve">Broken Arrow Retail, LLC </t>
  </si>
  <si>
    <t>Pending Refinance</t>
  </si>
  <si>
    <t>OK2032-4</t>
  </si>
  <si>
    <t>Cross Roads - Old School Bagel</t>
  </si>
  <si>
    <t>1171 N. 38th Street, Broken Arrow, OK 74014</t>
  </si>
  <si>
    <t>OK2032-5</t>
  </si>
  <si>
    <t>Cross Roads - Dispensary</t>
  </si>
  <si>
    <t>1172 N. 38th Street, Broken Arrow, OK 74014</t>
  </si>
  <si>
    <t>OK2101</t>
  </si>
  <si>
    <t>Christian Counseling</t>
  </si>
  <si>
    <t>Nolan Krampe</t>
  </si>
  <si>
    <t>OK2011-1</t>
  </si>
  <si>
    <t>Mustang Shell</t>
  </si>
  <si>
    <t>1709 S Mustang Rd., Mustang, OK 73064</t>
  </si>
  <si>
    <t>Wes Gaddy</t>
  </si>
  <si>
    <t xml:space="preserve">TAG Mustang RE Holdings, LLC </t>
  </si>
  <si>
    <t>OK2011-2</t>
  </si>
  <si>
    <t>Mustang - Old School Bagel</t>
  </si>
  <si>
    <t>1709 S Mustang Rd., Mustang, OK 73064 Ste D</t>
  </si>
  <si>
    <t>OK2011-3</t>
  </si>
  <si>
    <t>Mustang - Enhanced Dental</t>
  </si>
  <si>
    <t>1709 S Mustang Rd., Mustang, OK 73064 Ste A</t>
  </si>
  <si>
    <t>OK2038</t>
  </si>
  <si>
    <t>Dr. Farmer - Wonga Corner</t>
  </si>
  <si>
    <t>TX1901</t>
  </si>
  <si>
    <t>Dr. Dyer - Sequoia Spur</t>
  </si>
  <si>
    <t>115 Shell Rd, Georgtown, TX 78633</t>
  </si>
  <si>
    <t>James Stephenson</t>
  </si>
  <si>
    <t xml:space="preserve">Sequoia Spur RE Holdings, LLC </t>
  </si>
  <si>
    <t>TX1903</t>
  </si>
  <si>
    <t>Ramon Franklin Warehouse</t>
  </si>
  <si>
    <t>1308 Corporate Drive East, Arlinton, TX 76006</t>
  </si>
  <si>
    <t>Roger Harris / James Stephenson</t>
  </si>
  <si>
    <t xml:space="preserve">AG RF RE Holdings, LLC </t>
  </si>
  <si>
    <t>TX2001</t>
  </si>
  <si>
    <t>Dr. Lippian - Texarkana</t>
  </si>
  <si>
    <t>5220 Gibson Ln., Texarkana, TX 75501</t>
  </si>
  <si>
    <t>Roger Harris</t>
  </si>
  <si>
    <t>TX2005</t>
  </si>
  <si>
    <t>McKinney</t>
  </si>
  <si>
    <t>McKinney Development</t>
  </si>
  <si>
    <t>Virginia and Ridge Road, McKinney, TX</t>
  </si>
  <si>
    <t>TX2008-1</t>
  </si>
  <si>
    <t>Dr. Barabra Lee - McKinney Development</t>
  </si>
  <si>
    <t>McKinney, TX</t>
  </si>
  <si>
    <t>TX2006-1</t>
  </si>
  <si>
    <t>Sunnyvale Shell</t>
  </si>
  <si>
    <t>Sunnyvale, TX</t>
  </si>
  <si>
    <t>TX2006-2</t>
  </si>
  <si>
    <t>Lot 6 South of Hwy 80 and East of S. Collins RD, Sunnyvale, TX</t>
  </si>
  <si>
    <t>TX2006-3</t>
  </si>
  <si>
    <t>TX2007-1</t>
  </si>
  <si>
    <t>Carrollton Shell</t>
  </si>
  <si>
    <t>Carrollton, TX</t>
  </si>
  <si>
    <t>TX2007-2</t>
  </si>
  <si>
    <t>Carrollton Shell - Dr. Bui</t>
  </si>
  <si>
    <t>OK1924</t>
  </si>
  <si>
    <t>Yukon</t>
  </si>
  <si>
    <t>Yukon Development</t>
  </si>
  <si>
    <t xml:space="preserve">N Yukon Parkway and Main Street, Yukon, OK </t>
  </si>
  <si>
    <t>HOLD</t>
  </si>
  <si>
    <t>OK2019</t>
  </si>
  <si>
    <t>Santa Fe</t>
  </si>
  <si>
    <t>Santa Fe Development</t>
  </si>
  <si>
    <t>100 Southwest 134th Street, OKC, OK 73170</t>
  </si>
  <si>
    <t>OK2025</t>
  </si>
  <si>
    <t>Autism in Motion - Sante Fe Dev.</t>
  </si>
  <si>
    <t>112 Southwest 134th Street, OKC, OK 73170</t>
  </si>
  <si>
    <t xml:space="preserve">AG AIM OK RE Holdings, LLC </t>
  </si>
  <si>
    <t>OK2033-1</t>
  </si>
  <si>
    <t>Santa Fe Shell - Santa Fe Dev.</t>
  </si>
  <si>
    <t>OK2033-2</t>
  </si>
  <si>
    <t>Old School Bagel - Santa Fe Dev.</t>
  </si>
  <si>
    <t>OK2103</t>
  </si>
  <si>
    <t>Bethesda - Santa Fe Dev.</t>
  </si>
  <si>
    <t>OK2026</t>
  </si>
  <si>
    <t>Covel 35</t>
  </si>
  <si>
    <t>Covell I35 Edmond Dev.</t>
  </si>
  <si>
    <t xml:space="preserve">TBD Covell Road, Edmond, OK </t>
  </si>
  <si>
    <t xml:space="preserve">TBD </t>
  </si>
  <si>
    <t>OK2034</t>
  </si>
  <si>
    <t>Dr. Rex Johnson, DVM - Covel I35</t>
  </si>
  <si>
    <t>OK2036</t>
  </si>
  <si>
    <t>Dr. Matt Cole, DDS</t>
  </si>
  <si>
    <t xml:space="preserve">4239 NW Expressway, OKC, OK </t>
  </si>
  <si>
    <t xml:space="preserve">Pending Land Selection </t>
  </si>
  <si>
    <t>OK2037</t>
  </si>
  <si>
    <t>Master Hand Milling</t>
  </si>
  <si>
    <t xml:space="preserve">TBD, Edmond, OK </t>
  </si>
  <si>
    <t>OK2102</t>
  </si>
  <si>
    <t>Puppy Paws - East Edmond</t>
  </si>
  <si>
    <t>East Edmond</t>
  </si>
  <si>
    <t>OK2104</t>
  </si>
  <si>
    <t>Wimberley Walker Remodel</t>
  </si>
  <si>
    <t>OK2105-1</t>
  </si>
  <si>
    <t>Valencia Flex - Breakroom 405</t>
  </si>
  <si>
    <t>OK2105-2</t>
  </si>
  <si>
    <t>Valencia Flex - Christ Fit Gym</t>
  </si>
  <si>
    <t>OK2106-1</t>
  </si>
  <si>
    <t>Fox Lake Shell</t>
  </si>
  <si>
    <t>Edmond, OK</t>
  </si>
  <si>
    <t>OK2107</t>
  </si>
  <si>
    <t>Jack Be Grocery</t>
  </si>
  <si>
    <t>OK2108</t>
  </si>
  <si>
    <t>Puppy Paws - West Edmond</t>
  </si>
  <si>
    <t>OKxxxx</t>
  </si>
  <si>
    <t>Dr. Brad Mitchell Development</t>
  </si>
  <si>
    <t>Hyperbaric Theropy - Sears Shell</t>
  </si>
  <si>
    <t>AiM - Yukon</t>
  </si>
  <si>
    <t>Aim - Addition &amp; OSB</t>
  </si>
  <si>
    <t>OK1909-3</t>
  </si>
  <si>
    <t>Creekwood - All State TI</t>
  </si>
  <si>
    <t>Creekwood - Mike Lackey</t>
  </si>
  <si>
    <t>Coltrane South - Aya Rowe - Chiro</t>
  </si>
  <si>
    <t>Glenpool - Midleton's</t>
  </si>
  <si>
    <t>Glenpool</t>
  </si>
  <si>
    <t>Riverwest - Midleton's</t>
  </si>
  <si>
    <t>Sandsprings</t>
  </si>
  <si>
    <t>Riverwest - Tropical Smoothie</t>
  </si>
  <si>
    <t>TN2101</t>
  </si>
  <si>
    <t>AIM - Memphis TN</t>
  </si>
  <si>
    <t>TX2101</t>
  </si>
  <si>
    <t>Bob Mills - Fort Worth</t>
  </si>
  <si>
    <t>TX2102-1</t>
  </si>
  <si>
    <t>San Antonio Shell - Dr. Abeskharon</t>
  </si>
  <si>
    <t>San Antonio, TX</t>
  </si>
  <si>
    <t>OK1809</t>
  </si>
  <si>
    <t>Valencia Flex</t>
  </si>
  <si>
    <t>2215 NW 178th Street, Edmond, OK 73012</t>
  </si>
  <si>
    <t>Jason Nowell</t>
  </si>
  <si>
    <t>Cancelled</t>
  </si>
  <si>
    <t xml:space="preserve">AG Valencia RE Holdings, LLC </t>
  </si>
  <si>
    <t>Complete</t>
  </si>
  <si>
    <t>OK1912</t>
  </si>
  <si>
    <t>Dr. Shirley</t>
  </si>
  <si>
    <t>2441 SW 134th St. OKC 73170</t>
  </si>
  <si>
    <t>Adam England / Roger Harris</t>
  </si>
  <si>
    <t>OK1913</t>
  </si>
  <si>
    <t>Dr. Rudd/Western</t>
  </si>
  <si>
    <t>12208 S Western Ave., OKC73170</t>
  </si>
  <si>
    <t xml:space="preserve">AGTB RE Holdings, LLC </t>
  </si>
  <si>
    <t xml:space="preserve">OK1914 </t>
  </si>
  <si>
    <t>Dr. Morey/Woodland Trails Vet.</t>
  </si>
  <si>
    <t>216 W Covell Rd., Edmond, OK 73003</t>
  </si>
  <si>
    <t xml:space="preserve">Woodland RE Holdings, LLC </t>
  </si>
  <si>
    <t>OK1917</t>
  </si>
  <si>
    <t>Colonial Point - Shell</t>
  </si>
  <si>
    <t>12000 Northwest Expy, Yukon, OK 73099</t>
  </si>
  <si>
    <t xml:space="preserve">Piedmont RE Holdings, LLC </t>
  </si>
  <si>
    <t>OK1917-2</t>
  </si>
  <si>
    <t>Colonial Point - Old School Bagel</t>
  </si>
  <si>
    <t>OK1917-3</t>
  </si>
  <si>
    <t>Colonial Point - Enhance Dental</t>
  </si>
  <si>
    <t>OK1918</t>
  </si>
  <si>
    <t>Glen Eagles</t>
  </si>
  <si>
    <t>916 NW 139th Street Parkway, Edmond, OK 73013</t>
  </si>
  <si>
    <t xml:space="preserve">Shrink Wrapped, LLC </t>
  </si>
  <si>
    <t>OK1923-2</t>
  </si>
  <si>
    <t>Enhanced River West</t>
  </si>
  <si>
    <t>152 W Alexander Blvd., Sand Springs, OK 74063</t>
  </si>
  <si>
    <t xml:space="preserve">Riverwest RE Holdings, LLC </t>
  </si>
  <si>
    <t>OK1925</t>
  </si>
  <si>
    <t xml:space="preserve">Glenpool Small Retail </t>
  </si>
  <si>
    <t>Glenpool, OK</t>
  </si>
  <si>
    <t>OK1927</t>
  </si>
  <si>
    <t>Dr. Nellis</t>
  </si>
  <si>
    <t>9314 S Delaware Ave., Tulsa, OK 74137</t>
  </si>
  <si>
    <t xml:space="preserve">AG Delaware RE Holdings, LLC </t>
  </si>
  <si>
    <t>OK1931</t>
  </si>
  <si>
    <t>Dr. Crowley</t>
  </si>
  <si>
    <t>15101 Crown at Lone Oak Rd, OKC 73013</t>
  </si>
  <si>
    <t xml:space="preserve">Lone Oak RE Holdings, LLC </t>
  </si>
  <si>
    <t>OK1935</t>
  </si>
  <si>
    <t>Murfield Dental</t>
  </si>
  <si>
    <t>16430 Murfield Place, Edmond, OK 73013</t>
  </si>
  <si>
    <t>OK2002</t>
  </si>
  <si>
    <t>Tulsa Hills - 71st Development</t>
  </si>
  <si>
    <t>708 W. 71st Street, Tulsa, OK 74132</t>
  </si>
  <si>
    <t>Contingent on IDP</t>
  </si>
  <si>
    <t>OK2003</t>
  </si>
  <si>
    <t>Choctaw - Enhanced Dental</t>
  </si>
  <si>
    <t>2651 Market Blvd., Choctaw, OK 73020</t>
  </si>
  <si>
    <t xml:space="preserve">CDC Investment Properties, LLC </t>
  </si>
  <si>
    <t>OK2005</t>
  </si>
  <si>
    <t>Quail Springs Shell</t>
  </si>
  <si>
    <t>14424 N May Ave., OKC 73134</t>
  </si>
  <si>
    <t xml:space="preserve">AG Quail Springs RE Holdings, LLC </t>
  </si>
  <si>
    <t>OK2005-1</t>
  </si>
  <si>
    <t>Quail Springs - Enhanced Dental</t>
  </si>
  <si>
    <t>14424 N May Ave., OKC 73134 Ste A</t>
  </si>
  <si>
    <t>OK2005-2</t>
  </si>
  <si>
    <t>Quail Springs - Just Kids Ped's</t>
  </si>
  <si>
    <t>14424 N May Ave., OKC 73134 Ste B</t>
  </si>
  <si>
    <t>OK2020-4</t>
  </si>
  <si>
    <t>Western - PT Central</t>
  </si>
  <si>
    <t>Jared Dalton</t>
  </si>
  <si>
    <t>INACTIVE</t>
  </si>
  <si>
    <t xml:space="preserve">PTC of Moore, LLC </t>
  </si>
  <si>
    <t xml:space="preserve">Lease </t>
  </si>
  <si>
    <t>OK2021</t>
  </si>
  <si>
    <t>Dr. Torabi, DDS - Tulsa Hills, 71st Development</t>
  </si>
  <si>
    <t xml:space="preserve">AGTKA RE Holdings, LLC </t>
  </si>
  <si>
    <t>OK2023</t>
  </si>
  <si>
    <t>Western Urgent Care</t>
  </si>
  <si>
    <t xml:space="preserve"> 12208 S Western, OKC 73170</t>
  </si>
  <si>
    <t>Dion Hall / Andy Carroll</t>
  </si>
  <si>
    <t xml:space="preserve">AG Slootheer RE Holdings, LLC </t>
  </si>
  <si>
    <t>OK2027-1</t>
  </si>
  <si>
    <t>Tulsa Hills  Shell - 71st Development</t>
  </si>
  <si>
    <t>OK2027-2</t>
  </si>
  <si>
    <t>Just for Kids - Tulsa Hills  - 71st Development</t>
  </si>
  <si>
    <t>OK2028</t>
  </si>
  <si>
    <t>Dr. Blake Christensen</t>
  </si>
  <si>
    <t xml:space="preserve">13601 Memorial Park, OKC, OK </t>
  </si>
  <si>
    <t>DEAD</t>
  </si>
  <si>
    <t>No</t>
  </si>
  <si>
    <t>OK2030</t>
  </si>
  <si>
    <t>Positive Impact - Dr. Israelsen</t>
  </si>
  <si>
    <t>6872 Prosper Cir., Edmond, OK</t>
  </si>
  <si>
    <t xml:space="preserve">AG Waterloo RE Holdings, LLC </t>
  </si>
  <si>
    <t>OK2032-2</t>
  </si>
  <si>
    <t>Cross Roads - Dr. Angela Rhodes</t>
  </si>
  <si>
    <t>1169 N. 38th Street, Broken Arrow, OK 74014</t>
  </si>
  <si>
    <t>OK2032-3</t>
  </si>
  <si>
    <t>Cross Roads - State Farm Ins.</t>
  </si>
  <si>
    <t>1170 N. 38th Street, Broken Arrow, OK 74014</t>
  </si>
  <si>
    <t>OK2035</t>
  </si>
  <si>
    <t>Just Kids - Tulsa Hills, 71st Development</t>
  </si>
  <si>
    <t>TX1902</t>
  </si>
  <si>
    <t>Dr. Cairns -Toe-Tal</t>
  </si>
  <si>
    <t>6000 N Park Dr., Watagua, TX 76148</t>
  </si>
  <si>
    <t xml:space="preserve">North Park Dr RE Holdings, LLC </t>
  </si>
  <si>
    <t>TX2004</t>
  </si>
  <si>
    <t>Marshall Ridge Development LOCATION</t>
  </si>
  <si>
    <t xml:space="preserve">Hwy 377 and Marshall Ridge Parkway, Keller, TX </t>
  </si>
  <si>
    <t>TX2009</t>
  </si>
  <si>
    <t>Alliance Pediatrics - Marshall Ridge Development</t>
  </si>
  <si>
    <t>PM</t>
  </si>
  <si>
    <t>SUP</t>
  </si>
  <si>
    <t>Permit</t>
  </si>
  <si>
    <t xml:space="preserve">Start Date </t>
  </si>
  <si>
    <t>Comp Date</t>
  </si>
  <si>
    <t>Duration</t>
  </si>
  <si>
    <t>Spectrum Value</t>
  </si>
  <si>
    <t>ProCore Value</t>
  </si>
  <si>
    <t>Variance</t>
  </si>
  <si>
    <t>Forecasted
Value</t>
  </si>
  <si>
    <t>Annual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</si>
  <si>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</si>
  <si>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</si>
  <si>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</si>
  <si>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</si>
  <si>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</si>
  <si>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</si>
  <si>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</si>
  <si>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</si>
  <si>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</si>
  <si>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 xml:space="preserve">October </t>
  </si>
  <si>
    <t>November</t>
  </si>
  <si>
    <t>December</t>
  </si>
  <si>
    <t>TOTAL</t>
  </si>
  <si>
    <t>DELTA</t>
  </si>
  <si>
    <t>Adam English / Jared Dalton</t>
  </si>
  <si>
    <t>AE</t>
  </si>
  <si>
    <t>DF</t>
  </si>
  <si>
    <t>Yes</t>
  </si>
  <si>
    <t>JW</t>
  </si>
  <si>
    <t>Stroud</t>
  </si>
  <si>
    <t>BS</t>
  </si>
  <si>
    <t>Hunter Pharmacy</t>
  </si>
  <si>
    <t>DS</t>
  </si>
  <si>
    <t xml:space="preserve">El Reno Enhanced Dental </t>
  </si>
  <si>
    <t xml:space="preserve">OneCore </t>
  </si>
  <si>
    <t>DH</t>
  </si>
  <si>
    <t>Christopher Goldsmith</t>
  </si>
  <si>
    <t>CG</t>
  </si>
  <si>
    <t>GC</t>
  </si>
  <si>
    <t>Dr. Loscuito</t>
  </si>
  <si>
    <t>OK2008</t>
  </si>
  <si>
    <t>Dr. Gaches</t>
  </si>
  <si>
    <t xml:space="preserve">Cross Roads - Shell </t>
  </si>
  <si>
    <t>NK</t>
  </si>
  <si>
    <t>WG</t>
  </si>
  <si>
    <t>JS</t>
  </si>
  <si>
    <t>RH</t>
  </si>
  <si>
    <t>Marshall Ridge Development</t>
  </si>
  <si>
    <t>Dr. Luna - Sunnyvale Shell</t>
  </si>
  <si>
    <t>Dr. Rohani - Sunnyvale Shell</t>
  </si>
  <si>
    <t>Dr. Bui - Carrollton Shell</t>
  </si>
  <si>
    <t>TX2008</t>
  </si>
  <si>
    <t>Dr. Barabra Lee McKinney Development</t>
  </si>
  <si>
    <t>Dr. Farmer TI - Wonga Corner</t>
  </si>
  <si>
    <t>Puppy Paws</t>
  </si>
  <si>
    <t>TNxxxx</t>
  </si>
  <si>
    <t xml:space="preserve">TOTAL </t>
  </si>
  <si>
    <t>Adam English</t>
  </si>
  <si>
    <t>STROUD</t>
  </si>
  <si>
    <t>WILLIAMS</t>
  </si>
  <si>
    <t>Stephensen</t>
  </si>
  <si>
    <t>Billing Forecast Total</t>
  </si>
  <si>
    <t>Billing Goal</t>
  </si>
  <si>
    <t>Difference</t>
  </si>
  <si>
    <t>Rev Actual</t>
  </si>
  <si>
    <t>Rev Goal</t>
  </si>
  <si>
    <t>GP Actual</t>
  </si>
  <si>
    <t>GP Goal</t>
  </si>
  <si>
    <t>GP % Actual</t>
  </si>
  <si>
    <t>GP % Goal</t>
  </si>
  <si>
    <t>OH Actual</t>
  </si>
  <si>
    <t>OH Goal</t>
  </si>
  <si>
    <t>NP Actual</t>
  </si>
  <si>
    <t>NP Goal</t>
  </si>
  <si>
    <t>Dr. Loscuito - 61st Dev.</t>
  </si>
  <si>
    <t>Cross Roads - Dr. Rhodes</t>
  </si>
  <si>
    <t>Cross Roads - State Farm</t>
  </si>
  <si>
    <t>Christian Counciling</t>
  </si>
  <si>
    <t xml:space="preserve">Enhance Dental - Choctaw </t>
  </si>
  <si>
    <t xml:space="preserve">Marshall Ridge Dev.   </t>
  </si>
  <si>
    <t>Dr. Lee - McKinney Development</t>
  </si>
  <si>
    <t>Sunnyvale Shell - Dr. Luna</t>
  </si>
  <si>
    <t xml:space="preserve">TX2006-3 </t>
  </si>
  <si>
    <t>Sunnyvale Shell - Dr. Rohani</t>
  </si>
  <si>
    <t>Carrllton Shell</t>
  </si>
  <si>
    <t>Carrolton Shell - Dr. Bui</t>
  </si>
  <si>
    <t>Alliance Pediatrics-Marsh</t>
  </si>
  <si>
    <t>FL2001</t>
  </si>
  <si>
    <t>Elysee Lot 6</t>
  </si>
  <si>
    <t>FL2002</t>
  </si>
  <si>
    <t>Elysee Lot 7</t>
  </si>
  <si>
    <t>OK2028P</t>
  </si>
  <si>
    <t xml:space="preserve">Precon - Memorial Park   </t>
  </si>
  <si>
    <t>Valencial Lex - Breakroom 405</t>
  </si>
  <si>
    <t>Valencial Lex - Christ Fit Gym</t>
  </si>
  <si>
    <t>Sears Shell - Hyperbaric Theropy</t>
  </si>
  <si>
    <t>AIM - Yukon</t>
  </si>
  <si>
    <t>AIM - Additions &amp; OSB</t>
  </si>
  <si>
    <t>Gleenpool Finance</t>
  </si>
  <si>
    <t>Bob Mills - Forth Worth</t>
  </si>
  <si>
    <t>Dr. Abeskharon - San Antonio</t>
  </si>
  <si>
    <t>Target</t>
  </si>
  <si>
    <t>Billing Total</t>
  </si>
  <si>
    <t>12901 E Britton, Jones, OK</t>
  </si>
  <si>
    <t>1152 W. Douglas Midwest City, OK</t>
  </si>
  <si>
    <t>2215 NW 178th Street Ste. A</t>
  </si>
  <si>
    <t>2213 NW 178th Street, Ste. C</t>
  </si>
  <si>
    <t>9068 E 61st Street, Tulsa, OK 74145</t>
  </si>
  <si>
    <t>9050 E. 61st Street, Tulsa, OK 74145</t>
  </si>
  <si>
    <t>9086 E 61st Street, Tulsa, OK 74145</t>
  </si>
  <si>
    <t>Peggy</t>
  </si>
  <si>
    <t>Jenna</t>
  </si>
  <si>
    <t>Brandon</t>
  </si>
  <si>
    <t>Nolan</t>
  </si>
  <si>
    <t>Trevor</t>
  </si>
  <si>
    <t>Dion</t>
  </si>
  <si>
    <t>Branonn</t>
  </si>
  <si>
    <t xml:space="preserve">Sigma PL RE Holdings, LLC </t>
  </si>
  <si>
    <t xml:space="preserve">First Liberty Bank </t>
  </si>
  <si>
    <t xml:space="preserve">Interbank </t>
  </si>
  <si>
    <t xml:space="preserve">First Oklahoma Bank </t>
  </si>
  <si>
    <t xml:space="preserve">First State Bank </t>
  </si>
  <si>
    <t xml:space="preserve">Oklahoma Fidelity Bank </t>
  </si>
  <si>
    <t xml:space="preserve">Britton Holdings, LLC </t>
  </si>
  <si>
    <t xml:space="preserve">Wonga Corner, LLC </t>
  </si>
  <si>
    <t xml:space="preserve">Closed </t>
  </si>
  <si>
    <t xml:space="preserve">American Nation Bank </t>
  </si>
  <si>
    <t>Southwest National Bank of Weatherford</t>
  </si>
  <si>
    <t xml:space="preserve">Cornerstone Bank </t>
  </si>
  <si>
    <t>Great Plains National Bank</t>
  </si>
  <si>
    <t>Pending</t>
  </si>
  <si>
    <t xml:space="preserve">AG AIM Memphis RE Holdings, LLC </t>
  </si>
  <si>
    <t>Okxxxx</t>
  </si>
  <si>
    <t>Valencia Custom Pools</t>
  </si>
  <si>
    <t>Valencia Prevail Fitness</t>
  </si>
  <si>
    <t>63rd and Grand Building</t>
  </si>
  <si>
    <t>Classen Curve</t>
  </si>
  <si>
    <t>Puppy Paws - Lone Oak</t>
  </si>
  <si>
    <t>Shawnee Shell</t>
  </si>
  <si>
    <t>Chamberlin Reality</t>
  </si>
  <si>
    <t>Southwest 134th Street, OKC, OK 73170</t>
  </si>
  <si>
    <t>Brandon Cheney</t>
  </si>
  <si>
    <t>OK2110-1</t>
  </si>
  <si>
    <t>OK2110-2</t>
  </si>
  <si>
    <t>Shawnee-OSB</t>
  </si>
  <si>
    <t>OK2111-1</t>
  </si>
  <si>
    <t>Chamberlin Reality Shell</t>
  </si>
  <si>
    <t>OK2111-2</t>
  </si>
  <si>
    <t>Breakroom 405</t>
  </si>
  <si>
    <t>Creekwood Allstate</t>
  </si>
  <si>
    <t>Christfit Gym</t>
  </si>
  <si>
    <t>Empite Financial</t>
  </si>
  <si>
    <t>OK1923-3</t>
  </si>
  <si>
    <t>Closeout</t>
  </si>
  <si>
    <t>Dead</t>
  </si>
  <si>
    <t>12000 NW Expressway</t>
  </si>
  <si>
    <t>TI</t>
  </si>
  <si>
    <t>Surrey Nutrition Partners, LLC</t>
  </si>
  <si>
    <t>Nutrition Club Piedmont</t>
  </si>
  <si>
    <t>Magnus Industries, LLC</t>
  </si>
  <si>
    <t>Blondette, LLC</t>
  </si>
  <si>
    <t>901 E Main St, Yukon, OK</t>
  </si>
  <si>
    <t>The Classy K9, LLC</t>
  </si>
  <si>
    <t>241 S Coltrane Rd</t>
  </si>
  <si>
    <t>Daniel &amp; Max, LLC</t>
  </si>
  <si>
    <t>115 Alexander Blvd</t>
  </si>
  <si>
    <t>Classy K9-Coletrane South</t>
  </si>
  <si>
    <t>Yukon Salon-Yukon PPT</t>
  </si>
  <si>
    <t>Stanton Optical-Riverwest</t>
  </si>
  <si>
    <t>Regent Bank - Coltrane Corner</t>
  </si>
  <si>
    <t>Creekwood - All State TI - Mike Lackey</t>
  </si>
  <si>
    <t>Cory Muir</t>
  </si>
  <si>
    <t>Valencia Flex - Magnus Industries Batting Cages</t>
  </si>
  <si>
    <t>2215 NW 178th St., Suite D</t>
  </si>
  <si>
    <t>Kevin Trosper</t>
  </si>
  <si>
    <t>Valencial Flex - Breakroom 405</t>
  </si>
  <si>
    <t>Valencial Flex - Christ Fit Gym</t>
  </si>
  <si>
    <t>Need to be doing earthwork by 8-1-21</t>
  </si>
  <si>
    <t>60-75 days out</t>
  </si>
  <si>
    <t>Reservoir by Costco</t>
  </si>
  <si>
    <t>OK????</t>
  </si>
  <si>
    <t>Peak View Brewery and Distillery</t>
  </si>
  <si>
    <t>Cross Roads - Old School Bagel-TI</t>
  </si>
  <si>
    <t>??</t>
  </si>
  <si>
    <t>OK2105-5</t>
  </si>
  <si>
    <t>Magnus Batting Cage (VAL)</t>
  </si>
  <si>
    <t>OK2105-4</t>
  </si>
  <si>
    <t>Prevail Fitness (VAL)</t>
  </si>
  <si>
    <t>Dr Fischer</t>
  </si>
  <si>
    <t>Dr. Mackey - 61st Street</t>
  </si>
  <si>
    <t>Allstate Insurance</t>
  </si>
  <si>
    <t xml:space="preserve">OK1909-3 </t>
  </si>
  <si>
    <t>Breakroom 405 (VAL)</t>
  </si>
  <si>
    <t>Cassidy Hedrick</t>
  </si>
  <si>
    <t>Precon - Memorial Park</t>
  </si>
  <si>
    <t>Regent Center (Fox Lake Similar)</t>
  </si>
  <si>
    <t>Broken Arrow</t>
  </si>
  <si>
    <t>Design</t>
  </si>
  <si>
    <t>OK2033-3</t>
  </si>
  <si>
    <t>Chamberlain Realty - Santa Fe Dev.</t>
  </si>
  <si>
    <t>Clark Plaza Shell</t>
  </si>
  <si>
    <t>OK2105-3</t>
  </si>
  <si>
    <t>Custom Pools</t>
  </si>
  <si>
    <t>OK1902-1</t>
  </si>
  <si>
    <t>COMMENTS</t>
  </si>
  <si>
    <t>Is this contract value correct?</t>
  </si>
  <si>
    <t>Contract value needs to be increased.</t>
  </si>
  <si>
    <t>Do we need to bill or adjust the contract?</t>
  </si>
  <si>
    <t>OK1923-4</t>
  </si>
  <si>
    <t>Tropical Smootie - RIVE</t>
  </si>
  <si>
    <t>Stanton Optical - RIVE</t>
  </si>
  <si>
    <t>OK1922-4</t>
  </si>
  <si>
    <t xml:space="preserve">Klassy K9 (COLT)   </t>
  </si>
  <si>
    <t>OK1922-3</t>
  </si>
  <si>
    <t xml:space="preserve">Regent Bank (COLT)       </t>
  </si>
  <si>
    <t>OK1922-1</t>
  </si>
  <si>
    <t xml:space="preserve">Aya Rowe (COLT)         </t>
  </si>
  <si>
    <t>OK1917-4</t>
  </si>
  <si>
    <t xml:space="preserve">Nutrition Club (COL P)   </t>
  </si>
  <si>
    <t>KK</t>
  </si>
  <si>
    <t>KT</t>
  </si>
  <si>
    <t>HARRIS</t>
  </si>
  <si>
    <t>JOHNSON</t>
  </si>
  <si>
    <t>MILLER</t>
  </si>
  <si>
    <t>CH</t>
  </si>
  <si>
    <t>CM</t>
  </si>
  <si>
    <t>Kimberly Kelly</t>
  </si>
  <si>
    <t>JN</t>
  </si>
  <si>
    <t>Kyle Tedlock</t>
  </si>
  <si>
    <t>No billing in July</t>
  </si>
  <si>
    <t>No billing at all.</t>
  </si>
  <si>
    <t>Contract value needs to be increased. Submit a ProCore Change Event</t>
  </si>
  <si>
    <t>CLINTON</t>
  </si>
  <si>
    <t>R&amp;D Construction</t>
  </si>
  <si>
    <t>Blondette</t>
  </si>
  <si>
    <t>TX2102-2</t>
  </si>
  <si>
    <t>San Antonio Shell</t>
  </si>
  <si>
    <t>Dr. Barbara Lee - McKinney Development</t>
  </si>
  <si>
    <t>SOLD</t>
  </si>
  <si>
    <t>DEAD / HOLD / SOLD</t>
  </si>
  <si>
    <t>OK2117-1</t>
  </si>
  <si>
    <t>OK2117-2</t>
  </si>
  <si>
    <t>Paul's Valley Shell - Enhanced Dental</t>
  </si>
  <si>
    <t>OK2115</t>
  </si>
  <si>
    <t>Paul's Valley Development</t>
  </si>
  <si>
    <t xml:space="preserve">Paul's Valley Shell </t>
  </si>
  <si>
    <t>OK2116</t>
  </si>
  <si>
    <t>Dollar Tree (Paul's Valley Development)</t>
  </si>
  <si>
    <t>OK2114-1</t>
  </si>
  <si>
    <t>Chamberlain Realty - Lone Oak</t>
  </si>
  <si>
    <t>OK2112</t>
  </si>
  <si>
    <t>OK2113</t>
  </si>
  <si>
    <t>Carlton Landing Sewer - Eufaula, OK</t>
  </si>
  <si>
    <t>Dr. Lu Dentistry - Covell 35 Dev.</t>
  </si>
  <si>
    <t xml:space="preserve">OK2111 </t>
  </si>
  <si>
    <t>Solara Surgery Center - Moore, OK</t>
  </si>
  <si>
    <t>Shawnee Shell - Shawnee, OK</t>
  </si>
  <si>
    <t>Shawnee Shell - OSO</t>
  </si>
  <si>
    <t>Shawnee Shell - Old School Bagel</t>
  </si>
  <si>
    <t>OK2109-1</t>
  </si>
  <si>
    <t>Grand Blvd. Shell - OKC, OK</t>
  </si>
  <si>
    <t>Fox Lake - Sidecar</t>
  </si>
  <si>
    <t>Fox Lake - Hatch</t>
  </si>
  <si>
    <t>Fox Lake - Enhanced Dental</t>
  </si>
  <si>
    <t>Fox Lake - Open Space</t>
  </si>
  <si>
    <t>Fox Lake Provision Concepts</t>
  </si>
  <si>
    <t>Puppy Paws East Edmond</t>
  </si>
  <si>
    <t xml:space="preserve">Empire Financial </t>
  </si>
  <si>
    <t>Sunnyvale Shell - Dr Luna</t>
  </si>
  <si>
    <t>Address</t>
  </si>
  <si>
    <t>Project</t>
  </si>
  <si>
    <t>Job Number</t>
  </si>
  <si>
    <t>Permit Submitted</t>
  </si>
  <si>
    <t>14425 N May Ave., OKC 73134 Ste B</t>
  </si>
  <si>
    <t>11522 South Western Ave., OKC, OK 73170</t>
  </si>
  <si>
    <t>11523 South Western Ave., OKC, OK 73170</t>
  </si>
  <si>
    <t>Permit Approval Time</t>
  </si>
  <si>
    <t>Permit Received</t>
  </si>
  <si>
    <t>Autism in Motion - Santa Fe Dev.</t>
  </si>
  <si>
    <t>Dr. Rex Johnson, DVM - Covell I35</t>
  </si>
  <si>
    <t>Preconstruction</t>
  </si>
  <si>
    <t>1708 S Mustang Rd., Mustang, OK 73064</t>
  </si>
  <si>
    <t>153 W Alexander Blvd., Sand Springs, OK 74063</t>
  </si>
  <si>
    <t>1167 N. 38th Street, Broken Arrow, OK 74014</t>
  </si>
  <si>
    <t>Annual
2022</t>
  </si>
  <si>
    <t>Annual
2023</t>
  </si>
  <si>
    <t>Annual
2020</t>
  </si>
  <si>
    <t>SMITH</t>
  </si>
  <si>
    <t>HALL</t>
  </si>
  <si>
    <t>2441 SW 134th, Oklahoma City, OK 73170</t>
  </si>
  <si>
    <t>STEPHENSON</t>
  </si>
  <si>
    <t>OK1822-3</t>
  </si>
  <si>
    <t>OK1822-4</t>
  </si>
  <si>
    <t>1140 NW 192nd Street Suite B, Oklahoma City, OK</t>
  </si>
  <si>
    <t xml:space="preserve">Colonial Point - Nutrition Club </t>
  </si>
  <si>
    <t>11999 NW Expressway Yukon, OK  73099</t>
  </si>
  <si>
    <t>2824 E. 2nd, Edmond, OK</t>
  </si>
  <si>
    <t>2823 E. 2nd, Suite C, Edmond, OK</t>
  </si>
  <si>
    <t xml:space="preserve">Coltrane Corner - Aya Rowe    </t>
  </si>
  <si>
    <t>112 SW 134th Street, Oklahoma City, OK</t>
  </si>
  <si>
    <t>113 SW 134th Street, Oklahoma City, OK</t>
  </si>
  <si>
    <t>Punchlist Complete
Date</t>
  </si>
  <si>
    <t>Lessons
Learned</t>
  </si>
  <si>
    <t>1213 N. Rockwell Ave., Oklahoma City, OK 73127</t>
  </si>
  <si>
    <t>OK2106-2</t>
  </si>
  <si>
    <t>OK2106-3</t>
  </si>
  <si>
    <t>OK2106-4</t>
  </si>
  <si>
    <t>OK2106-5</t>
  </si>
  <si>
    <t>OK2106-6</t>
  </si>
  <si>
    <t>OSB 150th and Penn</t>
  </si>
  <si>
    <t>Weatherford Shell</t>
  </si>
  <si>
    <t>Enid Shell</t>
  </si>
  <si>
    <t>Anytime Fitness - Brandon Porter</t>
  </si>
  <si>
    <t>3600 East Long Ave., Ft Worth, TX  76111</t>
  </si>
  <si>
    <t>Revised projected billing in Aug &amp; Sept. $36,897 may be a savings split with Hunter</t>
  </si>
  <si>
    <t>Revised projected billing in Aug. Expecting $6,000 to be returned to the Owner.</t>
  </si>
  <si>
    <t>FRARY</t>
  </si>
  <si>
    <t>15th &amp; Bryant Development</t>
  </si>
  <si>
    <t>The Learning Experence (15th &amp; Bryant Development)</t>
  </si>
  <si>
    <t>Enhanced Dental - Enid</t>
  </si>
  <si>
    <t>OSB - Enid</t>
  </si>
  <si>
    <t>PW</t>
  </si>
  <si>
    <t>WILSON</t>
  </si>
  <si>
    <t>OK2105-6</t>
  </si>
  <si>
    <t>Phillip Wilson</t>
  </si>
  <si>
    <t>Valencia - Custom Pools</t>
  </si>
  <si>
    <t>Valencia - Prevail Fitness</t>
  </si>
  <si>
    <t>Valencia - Winfield and Co.</t>
  </si>
  <si>
    <t>TROPSER</t>
  </si>
  <si>
    <t>Coltrane Corner - Regent Bank (Mike)</t>
  </si>
  <si>
    <t>Coltrane Corner - Klassy K9 (Mike)</t>
  </si>
  <si>
    <t>Allstate Insurance (Brandon)</t>
  </si>
  <si>
    <t>Valencia - Breakroom 405 (Cory)</t>
  </si>
  <si>
    <t>Valencia - Christfit Gym (Cory)</t>
  </si>
  <si>
    <t>Valencia - Magnus Batting Cage (Cory)</t>
  </si>
  <si>
    <t xml:space="preserve">OK2110-1 </t>
  </si>
  <si>
    <t>OK2110-3</t>
  </si>
  <si>
    <t>AIM - Memphis, TN</t>
  </si>
  <si>
    <t>Planned Comp Date</t>
  </si>
  <si>
    <t>12100 South Yukon Ave. Suite C, Glenpool, OK 74033</t>
  </si>
  <si>
    <t>101 Twilight Trail, Wimberly, TX 78676</t>
  </si>
  <si>
    <t>851 W. I35 Access Rd., Edmond, OK 73034</t>
  </si>
  <si>
    <t>901 E. Main Suite 125, Yukon, OK 73099</t>
  </si>
  <si>
    <t>902 E. Main Suite 115, Yukon, OK 73099</t>
  </si>
  <si>
    <t>12901 E. Britton Rd. Suite B, Jones,  73049</t>
  </si>
  <si>
    <t>2215 NW 178th Street Ste. A, Edmond, OK 73012</t>
  </si>
  <si>
    <t>7007 Stage Rd., Memphis, TN 38133</t>
  </si>
  <si>
    <t>2215 NW 178th Street Ste. C, Edmond, OK 73012</t>
  </si>
  <si>
    <t>2215 NW 178th Street Ste. E, Edmond, OK 73012</t>
  </si>
  <si>
    <t>2215 NW 178th Street Ste. B, Edmond, OK 73012</t>
  </si>
  <si>
    <t>2215 NW 178th Street Ste. D, Edmond, OK 73012</t>
  </si>
  <si>
    <t>15200 Crown at Lone Oak, Edmond OK 73013</t>
  </si>
  <si>
    <t>5249 E. Covel Rd., Edmond, OK 73034</t>
  </si>
  <si>
    <t>5401 E. Covel Rd., Edmond, OK 73034</t>
  </si>
  <si>
    <t xml:space="preserve">5400 E. Covell Road, Edmond, OK </t>
  </si>
  <si>
    <t>15103 Crown at Lone Oak Rd., Edmond, OK 73013</t>
  </si>
  <si>
    <t>OSB - Wonga Corner</t>
  </si>
  <si>
    <t>1156 S. Douglas, Midwest City, OK 73130</t>
  </si>
  <si>
    <t>15201 N. Penn Crossing Court, Oklahoma City, OK 73013</t>
  </si>
  <si>
    <t>7734 Hwy 70 S. Nashville, TN 37221</t>
  </si>
  <si>
    <t>AIM Bellevue - Site Visit Needed</t>
  </si>
  <si>
    <t>DOYLE</t>
  </si>
  <si>
    <t>4799 N. Harrison, Shawnee, OK 74804</t>
  </si>
  <si>
    <t>4795 N. Harrison, Shawnee, OK 74804</t>
  </si>
  <si>
    <t>4797 N. Harrison, Shawnee, OK 74804</t>
  </si>
  <si>
    <t>TROSPER</t>
  </si>
  <si>
    <t>480 US Hwy 80, Sunnyvale, TX 75182</t>
  </si>
  <si>
    <t>481 US Hwy 80, Sunnyvale, TX 75182</t>
  </si>
  <si>
    <t>482 US Hwy 80, Sunnyvale, TX 75182</t>
  </si>
  <si>
    <t>Tropical Smoothie - Riverwest</t>
  </si>
  <si>
    <t>Stanton Optical - Riverwest</t>
  </si>
  <si>
    <t>OK2118</t>
  </si>
  <si>
    <t>Paul's Valley Shell - TBD</t>
  </si>
  <si>
    <t>OK2119</t>
  </si>
  <si>
    <t>OK2120</t>
  </si>
  <si>
    <t>OK2121</t>
  </si>
  <si>
    <t>OK2122</t>
  </si>
  <si>
    <t>OK2123</t>
  </si>
  <si>
    <t>TBD (15th &amp; Bryant Development)</t>
  </si>
  <si>
    <t>OK2124</t>
  </si>
  <si>
    <t>Bodin Chiro (Lone Oak)</t>
  </si>
  <si>
    <t>OK2125-1</t>
  </si>
  <si>
    <t>OK2125-2</t>
  </si>
  <si>
    <t>OK2125-3</t>
  </si>
  <si>
    <t>OK2126-1</t>
  </si>
  <si>
    <t>OK2126-2</t>
  </si>
  <si>
    <t>OK2126-3</t>
  </si>
  <si>
    <t>Weatherford Shell - Enhanced Dental</t>
  </si>
  <si>
    <t>Weatherford Shell - Dollar Tree</t>
  </si>
  <si>
    <t>OK2127-1</t>
  </si>
  <si>
    <t>Legacy Martial Arts Shell</t>
  </si>
  <si>
    <t>OK2128</t>
  </si>
  <si>
    <t>TX2103-1</t>
  </si>
  <si>
    <t>McKinney Shell (McKinney Development)</t>
  </si>
  <si>
    <t>TX2103-2</t>
  </si>
  <si>
    <t>TX2103-3</t>
  </si>
  <si>
    <t>TBD (McKinney Development)</t>
  </si>
  <si>
    <t>TBD TI (McKinney Shell)</t>
  </si>
  <si>
    <t>Valencia - Breakroom 405 Warehouse</t>
  </si>
  <si>
    <t>2216 NW 178th Street Ste. E, Edmond, OK 73012</t>
  </si>
  <si>
    <t>Loan Close</t>
  </si>
  <si>
    <t>OK2127</t>
  </si>
  <si>
    <t>Western Shell - Scammahorn</t>
  </si>
  <si>
    <t>Western Shell - Dr. Olsen</t>
  </si>
  <si>
    <t>OK2111</t>
  </si>
  <si>
    <t>Water meter issues</t>
  </si>
  <si>
    <t>January
2022</t>
  </si>
  <si>
    <t>February
2022</t>
  </si>
  <si>
    <t>March
2022</t>
  </si>
  <si>
    <t>April
2022</t>
  </si>
  <si>
    <t>May
2022</t>
  </si>
  <si>
    <t>June
2022</t>
  </si>
  <si>
    <t>July
2022</t>
  </si>
  <si>
    <t>August
2022</t>
  </si>
  <si>
    <t>October
2022</t>
  </si>
  <si>
    <t>September
2022</t>
  </si>
  <si>
    <t>November
2022</t>
  </si>
  <si>
    <t>December
2022</t>
  </si>
  <si>
    <t>Tiffany Shiel</t>
  </si>
  <si>
    <t>TS</t>
  </si>
  <si>
    <t>Dr. Barbara Lee (McKinney Development)</t>
  </si>
  <si>
    <t>OK2132-1</t>
  </si>
  <si>
    <t>Seminole Shell</t>
  </si>
  <si>
    <t>Norman Shell</t>
  </si>
  <si>
    <t>OSB - Norman Shell</t>
  </si>
  <si>
    <t>OK2132-2</t>
  </si>
  <si>
    <t>T-Mobile - Seminole</t>
  </si>
  <si>
    <t>OK2132-3</t>
  </si>
  <si>
    <t>OK2132-4</t>
  </si>
  <si>
    <t>Urgent Care - Seminole</t>
  </si>
  <si>
    <t>TBD TI #3 - Seminole</t>
  </si>
  <si>
    <t>Covell 35 Dev. - Dr. Lu Dentistry</t>
  </si>
  <si>
    <t>OK21xx</t>
  </si>
  <si>
    <t>Glenn Pool Shell</t>
  </si>
  <si>
    <t>JE</t>
  </si>
  <si>
    <t>STRUB</t>
  </si>
  <si>
    <t>FOX</t>
  </si>
  <si>
    <t>Anticipated
Permit
Submission</t>
  </si>
  <si>
    <t>Actual
Permit Submitted</t>
  </si>
  <si>
    <t>Anticipated
Permit
Received</t>
  </si>
  <si>
    <t>Actual
Permit Received</t>
  </si>
  <si>
    <t>Anticipated
Approval
Duration</t>
  </si>
  <si>
    <t>Permit Approval Duration</t>
  </si>
  <si>
    <t>Closed</t>
  </si>
  <si>
    <t>Ready to Close</t>
  </si>
  <si>
    <t>TI - Norman Shell</t>
  </si>
  <si>
    <t>TI - Glenn Pool Shell</t>
  </si>
  <si>
    <t>OSB Express - Glenn Pool, OK</t>
  </si>
  <si>
    <t>yes</t>
  </si>
  <si>
    <t>Turn Over
Complete</t>
  </si>
  <si>
    <t>Regent Corner (Fox Lake Similar)</t>
  </si>
  <si>
    <t>OSB Express - Glenn Pool, OK (Stand Alone)</t>
  </si>
  <si>
    <t>TX2006-4</t>
  </si>
  <si>
    <t>Loan/Lease Close</t>
  </si>
  <si>
    <t>Yukon Nail Salon (Full Build)</t>
  </si>
  <si>
    <t>Cross Roads - Broken Arrow - Dr. Shambille (WGS)</t>
  </si>
  <si>
    <t>Glenn Pool Shell - Montap Fyzical Theropy (White Box)</t>
  </si>
  <si>
    <t>OKxxxxTI</t>
  </si>
  <si>
    <t>Entity</t>
  </si>
  <si>
    <t>Appraisal Value</t>
  </si>
  <si>
    <t>TBD TI #3 P - Seminole</t>
  </si>
  <si>
    <t>Sunnyvale Shell - GI Alliance</t>
  </si>
  <si>
    <t>Don't Own</t>
  </si>
  <si>
    <t>AG Quail Springs RE Holdings LLC</t>
  </si>
  <si>
    <t>AG Harrison RE Holdings, LLC</t>
  </si>
  <si>
    <t xml:space="preserve">AG Santa Fe RE Holdings, LLC </t>
  </si>
  <si>
    <t xml:space="preserve">Don't Own </t>
  </si>
  <si>
    <t xml:space="preserve">AG Chamberlain RE Holdings, LLC </t>
  </si>
  <si>
    <t xml:space="preserve">Glenpool RE Holdings, LLC </t>
  </si>
  <si>
    <t xml:space="preserve">AG Medical RE Holdings ,LLC </t>
  </si>
  <si>
    <t xml:space="preserve">AG Broken Arrow RE Holdings, LLC </t>
  </si>
  <si>
    <t>Wimberley Walker RE Holdings, LLC</t>
  </si>
  <si>
    <t xml:space="preserve">TAG Fox Lake RE Holdings, LLC </t>
  </si>
  <si>
    <t xml:space="preserve">Jenna check with cassidy - CL Holding? </t>
  </si>
  <si>
    <t xml:space="preserve">AGRIGGS RE Holdings, LLC </t>
  </si>
  <si>
    <t xml:space="preserve">Creekwood RE Holdings, LLC </t>
  </si>
  <si>
    <t xml:space="preserve">Coltrane RE Holdings, LLC </t>
  </si>
  <si>
    <t xml:space="preserve">AG Sunnyvale RE Holdings, LLC </t>
  </si>
  <si>
    <t xml:space="preserve">AG Puppy Covell RE Holdings, LLC </t>
  </si>
  <si>
    <t xml:space="preserve">AG May RE Holdings, LLC </t>
  </si>
  <si>
    <t xml:space="preserve">AG Puppy West RE Holdings, LLC </t>
  </si>
  <si>
    <t xml:space="preserve">Don't know </t>
  </si>
  <si>
    <t xml:space="preserve">AG Chamberlain West RE Holdings, LLC </t>
  </si>
  <si>
    <t xml:space="preserve">AG Fifteen RE Holdings, LLC </t>
  </si>
  <si>
    <t xml:space="preserve">AG Enid RE Holdings, LLC </t>
  </si>
  <si>
    <t xml:space="preserve">AG Weatherford RE Holdings, LLC </t>
  </si>
  <si>
    <t xml:space="preserve">AG Seminole RE Holdings, LLC </t>
  </si>
  <si>
    <t xml:space="preserve">TAG Norman RE Holdings, LLC </t>
  </si>
  <si>
    <t xml:space="preserve">AG Regent BA RE Holdings, LLC </t>
  </si>
  <si>
    <t xml:space="preserve">TAG Glenpool RE Holdings, LLC </t>
  </si>
  <si>
    <t xml:space="preserve">TAG Glenpool OSB RE Holdings,LLC </t>
  </si>
  <si>
    <t xml:space="preserve">AG AIM Bellevue RE Holdings, LLC </t>
  </si>
  <si>
    <t xml:space="preserve">AG Virginia Ridge RE Holdings, LLC </t>
  </si>
  <si>
    <t xml:space="preserve">AG Virginia RE Holdings, LLC </t>
  </si>
  <si>
    <t xml:space="preserve">AG Carrolton RE Holdings, LLC </t>
  </si>
  <si>
    <t>AG 281 RE Holdings, LLC</t>
  </si>
  <si>
    <t>Fayetteville, AR</t>
  </si>
  <si>
    <t>Fayetteville Development</t>
  </si>
  <si>
    <t>Cleveland Enhanced Dental</t>
  </si>
  <si>
    <t>AG Cleveland RE Holdings, LLC</t>
  </si>
  <si>
    <t>AG Fayetteville RE Holdings, LLC</t>
  </si>
  <si>
    <t>Cleveland, OK</t>
  </si>
  <si>
    <t>OK2134-1</t>
  </si>
  <si>
    <t>TI #1 - Glenn Pool Shell</t>
  </si>
  <si>
    <t>TI #2 - Glenn Pool Shell</t>
  </si>
  <si>
    <t>TI #3 - Glenn Pool Shell</t>
  </si>
  <si>
    <t>TI #4 - Glenn Pool Shell</t>
  </si>
  <si>
    <t>TI #5 - Glenn Pool Shell</t>
  </si>
  <si>
    <t>OK2134-2</t>
  </si>
  <si>
    <t>OK2134-3</t>
  </si>
  <si>
    <t>OK2134-4</t>
  </si>
  <si>
    <t>OK2134-5</t>
  </si>
  <si>
    <t>OK2134-6</t>
  </si>
  <si>
    <t xml:space="preserve">TAG Penn OSB RE Holdings,LLC </t>
  </si>
  <si>
    <t>Ben</t>
  </si>
  <si>
    <t>Zach</t>
  </si>
  <si>
    <t>Phillip</t>
  </si>
  <si>
    <t>Appraisal
Budget Approved</t>
  </si>
  <si>
    <t>Anticipated Permit
Duration</t>
  </si>
  <si>
    <t>Glenn Pool, OK</t>
  </si>
  <si>
    <t>Tedlock</t>
  </si>
  <si>
    <t>Broken Arrow, OK</t>
  </si>
  <si>
    <t>FL2101</t>
  </si>
  <si>
    <t>248 Blue Mountain Beach</t>
  </si>
  <si>
    <t>Blue Mountain RE Holdings, LLC</t>
  </si>
  <si>
    <t>OK2129</t>
  </si>
  <si>
    <t>Chamberlain Group (SFD)</t>
  </si>
  <si>
    <t>Previously
Billed</t>
  </si>
  <si>
    <t>OK22xx</t>
  </si>
  <si>
    <t>9A Lake Eufalla</t>
  </si>
  <si>
    <t>RONS</t>
  </si>
  <si>
    <t>TEDLOCK</t>
  </si>
  <si>
    <t>SOLOMON</t>
  </si>
  <si>
    <t>Combined with OK2122</t>
  </si>
  <si>
    <t>Combined</t>
  </si>
  <si>
    <t>Kevin Tedlock</t>
  </si>
  <si>
    <t>SWIG - Norman Shell</t>
  </si>
  <si>
    <t>OSB - Riverwest</t>
  </si>
  <si>
    <t>OK1923-6</t>
  </si>
  <si>
    <t>Anna Shell TX</t>
  </si>
  <si>
    <t>Hough Ear - OKC</t>
  </si>
  <si>
    <t>SHIEL</t>
  </si>
  <si>
    <t>ECKER</t>
  </si>
  <si>
    <t>ENGLAND</t>
  </si>
  <si>
    <t>KELLY</t>
  </si>
  <si>
    <t>Dev.
Director</t>
  </si>
  <si>
    <t>LOI</t>
  </si>
  <si>
    <t>HAYES</t>
  </si>
  <si>
    <t>NOWELL</t>
  </si>
  <si>
    <t>CISPER</t>
  </si>
  <si>
    <t>HAMMOND</t>
  </si>
  <si>
    <t>Mingee LVM Investments</t>
  </si>
  <si>
    <t>Dr. Kramer - Edmond Family Dental Designs</t>
  </si>
  <si>
    <t>Enid - OSB</t>
  </si>
  <si>
    <t>Enid - Enhanced Dental</t>
  </si>
  <si>
    <t>Actual
Duration</t>
  </si>
  <si>
    <t>Planned Duration</t>
  </si>
  <si>
    <t>Fox Lake - Chicago Title</t>
  </si>
  <si>
    <t>OK2106-7</t>
  </si>
  <si>
    <t>OK2106-8</t>
  </si>
  <si>
    <t>OK2106-9</t>
  </si>
  <si>
    <t>Fox Lake TBD</t>
  </si>
  <si>
    <t>Fox Lake Chicken Foote</t>
  </si>
  <si>
    <t>Fox Lake Regent Bank</t>
  </si>
  <si>
    <t>Delta Btwn Loan Close and Permit</t>
  </si>
  <si>
    <t>Bobby</t>
  </si>
  <si>
    <t>Seminole Shell - T-Mobile</t>
  </si>
  <si>
    <t>Seminole Shell - Urgent Care</t>
  </si>
  <si>
    <t>Seminole Shell TBD TI #3</t>
  </si>
  <si>
    <t>Constuction</t>
  </si>
  <si>
    <t>Riverwest - Old School Bagel</t>
  </si>
  <si>
    <t>Norman Shell - Old School Bagel</t>
  </si>
  <si>
    <t>Norman Shell - SWIG</t>
  </si>
  <si>
    <t>OK2135-1</t>
  </si>
  <si>
    <t>OK2135-3</t>
  </si>
  <si>
    <t>OK2135-4</t>
  </si>
  <si>
    <t>OK2135-2</t>
  </si>
  <si>
    <t>Glenn Pool Shell - TI #1</t>
  </si>
  <si>
    <t>Glenn Pool Shell - TI #2</t>
  </si>
  <si>
    <t>Glenn Pool Shell - TI #3</t>
  </si>
  <si>
    <t>Glenn Pool Shell - TI #4</t>
  </si>
  <si>
    <t>Glenn Pool Shell - TI #5</t>
  </si>
  <si>
    <t>Santa Fe Dev. - Old School Bagel</t>
  </si>
  <si>
    <t>150th and Penn - Old School Bagel</t>
  </si>
  <si>
    <t>Enid - Old School Bagel</t>
  </si>
  <si>
    <t>Glenn Pool - Old School Bagel Express (Stand Alone)</t>
  </si>
  <si>
    <t>852 W. I35 Access Rd., Edmond, OK 73034</t>
  </si>
  <si>
    <t>853 W. I35 Access Rd., Edmond, OK 73034</t>
  </si>
  <si>
    <t>854 W. I35 Access Rd., Edmond, OK 73034</t>
  </si>
  <si>
    <t>855 W. I35 Access Rd., Edmond, OK 73034</t>
  </si>
  <si>
    <t>JackBe Mustang</t>
  </si>
  <si>
    <t>Mustang, OK</t>
  </si>
  <si>
    <t>Norman Shell - TI</t>
  </si>
  <si>
    <t>Danny</t>
  </si>
  <si>
    <t>Montapp Retail Fyzical Theropy (White Box)</t>
  </si>
  <si>
    <t>COMPLETED</t>
  </si>
  <si>
    <t>Seminole Shell TBD TI Pharmacy</t>
  </si>
  <si>
    <t>AG Artesian RE Holdings, LLC</t>
  </si>
  <si>
    <t>AG Anna RE Holdings, LLC</t>
  </si>
  <si>
    <t>AG Half RE Holdings, LLC</t>
  </si>
  <si>
    <t>JackBe Edmond</t>
  </si>
  <si>
    <t>Scope of Work Approved</t>
  </si>
  <si>
    <t>Q3</t>
  </si>
  <si>
    <t>?</t>
  </si>
  <si>
    <t>JackBe Santa Fe</t>
  </si>
  <si>
    <t>Fayetteville Development-Dead</t>
  </si>
  <si>
    <t>Yukon TI-Chamberlin Realty</t>
  </si>
  <si>
    <t>OK2130</t>
  </si>
  <si>
    <t>Regent Center Development</t>
  </si>
  <si>
    <t>Jack Be Grocery - Edmond</t>
  </si>
  <si>
    <t xml:space="preserve"> 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</si>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</sst>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&quot;$&quot;#,##0"/>
    <numFmt numFmtId="166" formatCode="0_);\(0\)"/>
    <numFmt numFmtId="167" formatCode="&quot;$&quot;#,##0.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2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8" fillId="15" borderId="0" applyNumberFormat="0" applyBorder="0" applyAlignment="0" applyProtection="0"/>
  </cellStyleXfs>
  <cellXfs count="5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0" fillId="0" borderId="0" xfId="2" applyFont="1" applyAlignment="1">
      <alignment vertical="center"/>
    </xf>
    <xf numFmtId="166" fontId="0" fillId="5" borderId="0" xfId="2" applyNumberFormat="1" applyFont="1" applyFill="1" applyAlignment="1">
      <alignment horizontal="center" vertical="center"/>
    </xf>
    <xf numFmtId="166" fontId="12" fillId="0" borderId="6" xfId="2" applyNumberFormat="1" applyFont="1" applyBorder="1" applyAlignment="1">
      <alignment horizontal="center" vertical="center"/>
    </xf>
    <xf numFmtId="44" fontId="0" fillId="5" borderId="0" xfId="2" applyFont="1" applyFill="1" applyAlignment="1">
      <alignment vertical="center"/>
    </xf>
    <xf numFmtId="166" fontId="12" fillId="0" borderId="7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44" fontId="4" fillId="5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4" fontId="0" fillId="5" borderId="1" xfId="2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2" fontId="0" fillId="0" borderId="1" xfId="2" applyNumberFormat="1" applyFont="1" applyBorder="1" applyAlignment="1">
      <alignment vertical="center"/>
    </xf>
    <xf numFmtId="42" fontId="0" fillId="4" borderId="1" xfId="2" applyNumberFormat="1" applyFont="1" applyFill="1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2" fontId="0" fillId="0" borderId="1" xfId="2" applyNumberFormat="1" applyFont="1" applyFill="1" applyBorder="1" applyAlignment="1">
      <alignment vertical="center"/>
    </xf>
    <xf numFmtId="42" fontId="0" fillId="6" borderId="1" xfId="2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/>
    <xf numFmtId="0" fontId="0" fillId="0" borderId="10" xfId="0" applyBorder="1"/>
    <xf numFmtId="0" fontId="0" fillId="0" borderId="1" xfId="0" applyBorder="1"/>
    <xf numFmtId="0" fontId="0" fillId="0" borderId="2" xfId="0" applyBorder="1"/>
    <xf numFmtId="0" fontId="12" fillId="0" borderId="11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42" fontId="12" fillId="0" borderId="13" xfId="2" applyNumberFormat="1" applyFont="1" applyFill="1" applyBorder="1" applyAlignment="1">
      <alignment vertical="center"/>
    </xf>
    <xf numFmtId="44" fontId="12" fillId="5" borderId="13" xfId="2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4" fontId="12" fillId="0" borderId="0" xfId="2" applyFont="1" applyFill="1" applyBorder="1"/>
    <xf numFmtId="44" fontId="12" fillId="5" borderId="0" xfId="2" applyFont="1" applyFill="1" applyBorder="1"/>
    <xf numFmtId="44" fontId="0" fillId="0" borderId="0" xfId="2" applyFont="1"/>
    <xf numFmtId="44" fontId="0" fillId="5" borderId="0" xfId="2" applyFont="1" applyFill="1"/>
    <xf numFmtId="44" fontId="0" fillId="0" borderId="0" xfId="2" applyFont="1" applyFill="1" applyBorder="1"/>
    <xf numFmtId="44" fontId="0" fillId="0" borderId="0" xfId="2" applyFont="1" applyFill="1"/>
    <xf numFmtId="44" fontId="4" fillId="0" borderId="1" xfId="2" applyFont="1" applyBorder="1" applyAlignment="1">
      <alignment horizontal="center" vertical="center" wrapText="1"/>
    </xf>
    <xf numFmtId="44" fontId="0" fillId="4" borderId="1" xfId="2" applyFont="1" applyFill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42" fontId="0" fillId="2" borderId="1" xfId="2" applyNumberFormat="1" applyFont="1" applyFill="1" applyBorder="1" applyAlignment="1">
      <alignment vertical="center"/>
    </xf>
    <xf numFmtId="42" fontId="0" fillId="0" borderId="1" xfId="2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2" fontId="0" fillId="8" borderId="1" xfId="2" applyNumberFormat="1" applyFont="1" applyFill="1" applyBorder="1" applyAlignment="1">
      <alignment vertical="center"/>
    </xf>
    <xf numFmtId="42" fontId="0" fillId="0" borderId="0" xfId="0" applyNumberFormat="1"/>
    <xf numFmtId="164" fontId="0" fillId="6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3" xfId="0" applyFill="1" applyBorder="1"/>
    <xf numFmtId="0" fontId="0" fillId="6" borderId="4" xfId="0" applyFill="1" applyBorder="1"/>
    <xf numFmtId="0" fontId="0" fillId="6" borderId="1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2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0" fillId="7" borderId="1" xfId="0" applyNumberForma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2" fontId="0" fillId="7" borderId="1" xfId="2" applyNumberFormat="1" applyFont="1" applyFill="1" applyBorder="1" applyAlignment="1">
      <alignment vertical="center"/>
    </xf>
    <xf numFmtId="44" fontId="0" fillId="7" borderId="1" xfId="2" applyFont="1" applyFill="1" applyBorder="1" applyAlignment="1">
      <alignment vertical="center"/>
    </xf>
    <xf numFmtId="42" fontId="14" fillId="4" borderId="1" xfId="2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/>
    <xf numFmtId="42" fontId="0" fillId="0" borderId="0" xfId="0" applyNumberFormat="1" applyAlignment="1">
      <alignment horizontal="center"/>
    </xf>
    <xf numFmtId="42" fontId="1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 vertical="center"/>
    </xf>
    <xf numFmtId="42" fontId="12" fillId="0" borderId="0" xfId="2" applyNumberFormat="1" applyFont="1" applyFill="1" applyBorder="1"/>
    <xf numFmtId="42" fontId="12" fillId="5" borderId="0" xfId="2" applyNumberFormat="1" applyFont="1" applyFill="1" applyBorder="1"/>
    <xf numFmtId="42" fontId="4" fillId="5" borderId="1" xfId="2" applyNumberFormat="1" applyFont="1" applyFill="1" applyBorder="1" applyAlignment="1">
      <alignment horizontal="center" vertical="center"/>
    </xf>
    <xf numFmtId="42" fontId="11" fillId="0" borderId="0" xfId="2" applyNumberFormat="1" applyFont="1" applyFill="1" applyBorder="1"/>
    <xf numFmtId="42" fontId="4" fillId="0" borderId="1" xfId="2" applyNumberFormat="1" applyFont="1" applyBorder="1" applyAlignment="1">
      <alignment horizontal="center" vertical="center"/>
    </xf>
    <xf numFmtId="42" fontId="0" fillId="0" borderId="0" xfId="2" applyNumberFormat="1" applyFont="1"/>
    <xf numFmtId="42" fontId="0" fillId="0" borderId="0" xfId="2" applyNumberFormat="1" applyFont="1" applyFill="1" applyBorder="1"/>
    <xf numFmtId="42" fontId="0" fillId="5" borderId="0" xfId="2" applyNumberFormat="1" applyFont="1" applyFill="1"/>
    <xf numFmtId="42" fontId="0" fillId="0" borderId="0" xfId="2" applyNumberFormat="1" applyFont="1" applyFill="1"/>
    <xf numFmtId="42" fontId="2" fillId="0" borderId="0" xfId="0" applyNumberFormat="1" applyFont="1" applyAlignment="1">
      <alignment horizontal="center" vertical="center"/>
    </xf>
    <xf numFmtId="42" fontId="2" fillId="0" borderId="0" xfId="0" applyNumberFormat="1" applyFont="1" applyAlignment="1">
      <alignment vertical="center"/>
    </xf>
    <xf numFmtId="42" fontId="0" fillId="7" borderId="0" xfId="2" applyNumberFormat="1" applyFont="1" applyFill="1"/>
    <xf numFmtId="9" fontId="11" fillId="0" borderId="0" xfId="2" applyNumberFormat="1" applyFont="1" applyFill="1" applyBorder="1"/>
    <xf numFmtId="10" fontId="11" fillId="0" borderId="0" xfId="2" applyNumberFormat="1" applyFont="1" applyFill="1" applyBorder="1"/>
    <xf numFmtId="10" fontId="11" fillId="7" borderId="0" xfId="2" applyNumberFormat="1" applyFont="1" applyFill="1" applyBorder="1"/>
    <xf numFmtId="42" fontId="0" fillId="7" borderId="0" xfId="2" applyNumberFormat="1" applyFont="1" applyFill="1" applyBorder="1"/>
    <xf numFmtId="16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2" fontId="0" fillId="0" borderId="3" xfId="2" applyNumberFormat="1" applyFont="1" applyBorder="1" applyAlignment="1">
      <alignment vertical="center"/>
    </xf>
    <xf numFmtId="44" fontId="4" fillId="5" borderId="3" xfId="2" applyFont="1" applyFill="1" applyBorder="1" applyAlignment="1">
      <alignment horizontal="center" vertical="center"/>
    </xf>
    <xf numFmtId="44" fontId="0" fillId="5" borderId="3" xfId="2" applyFont="1" applyFill="1" applyBorder="1" applyAlignment="1">
      <alignment vertical="center"/>
    </xf>
    <xf numFmtId="42" fontId="4" fillId="5" borderId="5" xfId="2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right" vertical="center"/>
    </xf>
    <xf numFmtId="42" fontId="12" fillId="0" borderId="17" xfId="2" applyNumberFormat="1" applyFont="1" applyFill="1" applyBorder="1" applyAlignment="1">
      <alignment vertical="center"/>
    </xf>
    <xf numFmtId="44" fontId="4" fillId="5" borderId="17" xfId="2" applyFont="1" applyFill="1" applyBorder="1" applyAlignment="1">
      <alignment horizontal="center" vertical="center"/>
    </xf>
    <xf numFmtId="42" fontId="12" fillId="7" borderId="17" xfId="2" applyNumberFormat="1" applyFont="1" applyFill="1" applyBorder="1" applyAlignment="1">
      <alignment vertical="center"/>
    </xf>
    <xf numFmtId="42" fontId="0" fillId="0" borderId="17" xfId="2" applyNumberFormat="1" applyFont="1" applyBorder="1" applyAlignment="1">
      <alignment vertical="center"/>
    </xf>
    <xf numFmtId="44" fontId="12" fillId="5" borderId="17" xfId="2" applyFont="1" applyFill="1" applyBorder="1" applyAlignment="1">
      <alignment vertical="center"/>
    </xf>
    <xf numFmtId="42" fontId="0" fillId="0" borderId="18" xfId="0" applyNumberFormat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42" fontId="14" fillId="7" borderId="1" xfId="2" applyNumberFormat="1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2" fontId="12" fillId="0" borderId="1" xfId="2" applyNumberFormat="1" applyFont="1" applyFill="1" applyBorder="1" applyAlignment="1">
      <alignment vertical="center"/>
    </xf>
    <xf numFmtId="42" fontId="12" fillId="0" borderId="1" xfId="2" applyNumberFormat="1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2" fontId="0" fillId="10" borderId="1" xfId="2" applyNumberFormat="1" applyFont="1" applyFill="1" applyBorder="1" applyAlignment="1">
      <alignment vertical="center"/>
    </xf>
    <xf numFmtId="42" fontId="12" fillId="0" borderId="6" xfId="2" applyNumberFormat="1" applyFont="1" applyBorder="1" applyAlignment="1">
      <alignment horizontal="center" vertical="center"/>
    </xf>
    <xf numFmtId="42" fontId="11" fillId="0" borderId="1" xfId="2" applyNumberFormat="1" applyFont="1" applyBorder="1" applyAlignment="1">
      <alignment vertical="center"/>
    </xf>
    <xf numFmtId="42" fontId="2" fillId="9" borderId="0" xfId="0" applyNumberFormat="1" applyFont="1" applyFill="1" applyAlignment="1">
      <alignment horizontal="center" vertical="center"/>
    </xf>
    <xf numFmtId="42" fontId="2" fillId="9" borderId="0" xfId="0" applyNumberFormat="1" applyFont="1" applyFill="1" applyAlignment="1">
      <alignment vertical="center"/>
    </xf>
    <xf numFmtId="42" fontId="0" fillId="9" borderId="0" xfId="2" applyNumberFormat="1" applyFont="1" applyFill="1"/>
    <xf numFmtId="44" fontId="0" fillId="2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42" fontId="2" fillId="7" borderId="0" xfId="0" applyNumberFormat="1" applyFont="1" applyFill="1" applyAlignment="1">
      <alignment horizontal="center" vertical="center"/>
    </xf>
    <xf numFmtId="42" fontId="2" fillId="7" borderId="0" xfId="0" applyNumberFormat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16" fillId="7" borderId="0" xfId="0" applyNumberFormat="1" applyFont="1" applyFill="1"/>
    <xf numFmtId="4" fontId="16" fillId="7" borderId="1" xfId="0" applyNumberFormat="1" applyFont="1" applyFill="1" applyBorder="1"/>
    <xf numFmtId="42" fontId="0" fillId="9" borderId="1" xfId="2" applyNumberFormat="1" applyFont="1" applyFill="1" applyBorder="1" applyAlignment="1">
      <alignment vertical="center"/>
    </xf>
    <xf numFmtId="42" fontId="12" fillId="7" borderId="1" xfId="2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2" fontId="0" fillId="9" borderId="0" xfId="0" applyNumberFormat="1" applyFill="1" applyAlignment="1">
      <alignment vertical="center"/>
    </xf>
    <xf numFmtId="42" fontId="0" fillId="0" borderId="0" xfId="0" applyNumberFormat="1" applyFill="1" applyAlignment="1">
      <alignment vertical="center"/>
    </xf>
    <xf numFmtId="42" fontId="0" fillId="2" borderId="0" xfId="0" applyNumberFormat="1" applyFill="1" applyAlignment="1">
      <alignment vertical="center"/>
    </xf>
    <xf numFmtId="42" fontId="0" fillId="11" borderId="0" xfId="0" applyNumberFormat="1" applyFill="1" applyAlignment="1">
      <alignment vertical="center"/>
    </xf>
    <xf numFmtId="0" fontId="0" fillId="12" borderId="1" xfId="0" applyFill="1" applyBorder="1" applyAlignment="1">
      <alignment horizontal="left" vertical="center"/>
    </xf>
    <xf numFmtId="0" fontId="0" fillId="1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164" fontId="3" fillId="12" borderId="1" xfId="1" applyNumberFormat="1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/>
    </xf>
    <xf numFmtId="1" fontId="7" fillId="12" borderId="1" xfId="0" applyNumberFormat="1" applyFont="1" applyFill="1" applyBorder="1" applyAlignment="1">
      <alignment horizontal="center" vertical="center"/>
    </xf>
    <xf numFmtId="165" fontId="2" fillId="12" borderId="1" xfId="0" applyNumberFormat="1" applyFont="1" applyFill="1" applyBorder="1" applyAlignment="1">
      <alignment horizontal="center" vertical="center"/>
    </xf>
    <xf numFmtId="164" fontId="7" fillId="12" borderId="1" xfId="0" applyNumberFormat="1" applyFont="1" applyFill="1" applyBorder="1" applyAlignment="1">
      <alignment horizontal="center" vertical="center"/>
    </xf>
    <xf numFmtId="164" fontId="13" fillId="12" borderId="1" xfId="1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165" fontId="7" fillId="12" borderId="1" xfId="0" applyNumberFormat="1" applyFont="1" applyFill="1" applyBorder="1" applyAlignment="1">
      <alignment horizontal="center" vertical="center"/>
    </xf>
    <xf numFmtId="14" fontId="2" fillId="12" borderId="1" xfId="0" applyNumberFormat="1" applyFont="1" applyFill="1" applyBorder="1" applyAlignment="1">
      <alignment horizontal="center" vertical="center"/>
    </xf>
    <xf numFmtId="1" fontId="2" fillId="12" borderId="1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vertical="center"/>
    </xf>
    <xf numFmtId="164" fontId="2" fillId="13" borderId="1" xfId="0" applyNumberFormat="1" applyFont="1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/>
    </xf>
    <xf numFmtId="2" fontId="4" fillId="13" borderId="1" xfId="0" applyNumberFormat="1" applyFont="1" applyFill="1" applyBorder="1" applyAlignment="1">
      <alignment horizontal="center" vertical="center"/>
    </xf>
    <xf numFmtId="42" fontId="16" fillId="7" borderId="1" xfId="0" applyNumberFormat="1" applyFont="1" applyFill="1" applyBorder="1"/>
    <xf numFmtId="42" fontId="12" fillId="6" borderId="1" xfId="2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2" fontId="12" fillId="9" borderId="1" xfId="2" applyNumberFormat="1" applyFont="1" applyFill="1" applyBorder="1" applyAlignment="1">
      <alignment vertical="center"/>
    </xf>
    <xf numFmtId="42" fontId="0" fillId="0" borderId="0" xfId="0" applyNumberFormat="1" applyFill="1" applyAlignment="1">
      <alignment horizontal="center" vertical="center"/>
    </xf>
    <xf numFmtId="42" fontId="12" fillId="0" borderId="1" xfId="2" applyNumberFormat="1" applyFont="1" applyBorder="1" applyAlignment="1">
      <alignment horizontal="center" vertical="center"/>
    </xf>
    <xf numFmtId="0" fontId="0" fillId="14" borderId="5" xfId="0" applyFill="1" applyBorder="1" applyAlignment="1">
      <alignment horizontal="left" vertical="center"/>
    </xf>
    <xf numFmtId="0" fontId="0" fillId="14" borderId="10" xfId="0" applyFill="1" applyBorder="1" applyAlignment="1">
      <alignment horizontal="left" vertical="center"/>
    </xf>
    <xf numFmtId="164" fontId="0" fillId="14" borderId="1" xfId="0" applyNumberFormat="1" applyFill="1" applyBorder="1" applyAlignment="1">
      <alignment horizontal="center" vertical="center"/>
    </xf>
    <xf numFmtId="42" fontId="12" fillId="14" borderId="1" xfId="2" applyNumberFormat="1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164" fontId="3" fillId="12" borderId="1" xfId="0" applyNumberFormat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164" fontId="7" fillId="12" borderId="1" xfId="0" applyNumberFormat="1" applyFont="1" applyFill="1" applyBorder="1" applyAlignment="1">
      <alignment horizontal="center" vertical="center" wrapText="1"/>
    </xf>
    <xf numFmtId="0" fontId="2" fillId="12" borderId="0" xfId="0" applyFont="1" applyFill="1"/>
    <xf numFmtId="0" fontId="3" fillId="12" borderId="1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/>
    </xf>
    <xf numFmtId="164" fontId="2" fillId="12" borderId="3" xfId="0" applyNumberFormat="1" applyFont="1" applyFill="1" applyBorder="1" applyAlignment="1">
      <alignment horizontal="center" vertical="center"/>
    </xf>
    <xf numFmtId="164" fontId="2" fillId="12" borderId="3" xfId="0" applyNumberFormat="1" applyFont="1" applyFill="1" applyBorder="1" applyAlignment="1">
      <alignment horizontal="center" vertical="center" wrapText="1"/>
    </xf>
    <xf numFmtId="165" fontId="2" fillId="12" borderId="3" xfId="0" applyNumberFormat="1" applyFont="1" applyFill="1" applyBorder="1" applyAlignment="1">
      <alignment horizontal="center" vertical="center"/>
    </xf>
    <xf numFmtId="2" fontId="2" fillId="12" borderId="3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2" fontId="7" fillId="12" borderId="1" xfId="0" applyNumberFormat="1" applyFont="1" applyFill="1" applyBorder="1" applyAlignment="1">
      <alignment horizontal="center" vertical="center"/>
    </xf>
    <xf numFmtId="1" fontId="7" fillId="12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2" fontId="0" fillId="0" borderId="0" xfId="0" applyNumberFormat="1" applyFill="1"/>
    <xf numFmtId="0" fontId="0" fillId="0" borderId="0" xfId="0" applyFill="1"/>
    <xf numFmtId="42" fontId="0" fillId="13" borderId="1" xfId="2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44" fontId="0" fillId="0" borderId="0" xfId="2" applyFont="1" applyBorder="1"/>
    <xf numFmtId="42" fontId="0" fillId="0" borderId="0" xfId="2" applyNumberFormat="1" applyFont="1" applyBorder="1"/>
    <xf numFmtId="44" fontId="0" fillId="0" borderId="23" xfId="2" applyFont="1" applyBorder="1" applyAlignment="1">
      <alignment vertical="center"/>
    </xf>
    <xf numFmtId="166" fontId="12" fillId="14" borderId="21" xfId="2" applyNumberFormat="1" applyFont="1" applyFill="1" applyBorder="1" applyAlignment="1">
      <alignment horizontal="center" vertical="center"/>
    </xf>
    <xf numFmtId="166" fontId="12" fillId="14" borderId="22" xfId="2" applyNumberFormat="1" applyFont="1" applyFill="1" applyBorder="1" applyAlignment="1">
      <alignment horizontal="center" vertical="center"/>
    </xf>
    <xf numFmtId="166" fontId="12" fillId="14" borderId="7" xfId="2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2" fontId="4" fillId="0" borderId="1" xfId="2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5" borderId="1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12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12" borderId="1" xfId="0" applyNumberFormat="1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left" vertical="center"/>
    </xf>
    <xf numFmtId="0" fontId="0" fillId="12" borderId="2" xfId="0" applyFont="1" applyFill="1" applyBorder="1" applyAlignment="1">
      <alignment horizontal="left" vertical="center"/>
    </xf>
    <xf numFmtId="1" fontId="0" fillId="12" borderId="1" xfId="0" applyNumberFormat="1" applyFont="1" applyFill="1" applyBorder="1" applyAlignment="1">
      <alignment horizontal="center" vertical="center"/>
    </xf>
    <xf numFmtId="42" fontId="12" fillId="12" borderId="1" xfId="2" applyNumberFormat="1" applyFont="1" applyFill="1" applyBorder="1" applyAlignment="1">
      <alignment vertical="center"/>
    </xf>
    <xf numFmtId="0" fontId="0" fillId="12" borderId="5" xfId="0" applyFont="1" applyFill="1" applyBorder="1" applyAlignment="1">
      <alignment horizontal="left" vertical="center"/>
    </xf>
    <xf numFmtId="0" fontId="0" fillId="12" borderId="10" xfId="0" applyFont="1" applyFill="1" applyBorder="1" applyAlignment="1">
      <alignment horizontal="left" vertical="center"/>
    </xf>
    <xf numFmtId="0" fontId="0" fillId="12" borderId="2" xfId="0" applyFill="1" applyBorder="1" applyAlignment="1">
      <alignment horizontal="left" vertical="center"/>
    </xf>
    <xf numFmtId="164" fontId="0" fillId="12" borderId="1" xfId="0" applyNumberFormat="1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vertical="center"/>
    </xf>
    <xf numFmtId="0" fontId="0" fillId="12" borderId="2" xfId="0" applyFill="1" applyBorder="1" applyAlignment="1">
      <alignment vertical="center"/>
    </xf>
    <xf numFmtId="0" fontId="0" fillId="12" borderId="2" xfId="0" applyFont="1" applyFill="1" applyBorder="1" applyAlignment="1">
      <alignment vertical="center"/>
    </xf>
    <xf numFmtId="0" fontId="0" fillId="12" borderId="10" xfId="0" applyFill="1" applyBorder="1" applyAlignment="1">
      <alignment horizontal="left" vertical="center"/>
    </xf>
    <xf numFmtId="0" fontId="0" fillId="12" borderId="5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4" fontId="12" fillId="12" borderId="1" xfId="0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vertical="center"/>
    </xf>
    <xf numFmtId="0" fontId="0" fillId="13" borderId="2" xfId="0" applyFill="1" applyBorder="1" applyAlignment="1">
      <alignment vertical="center"/>
    </xf>
    <xf numFmtId="164" fontId="0" fillId="13" borderId="1" xfId="0" applyNumberFormat="1" applyFill="1" applyBorder="1" applyAlignment="1">
      <alignment horizontal="center" vertical="center"/>
    </xf>
    <xf numFmtId="1" fontId="0" fillId="13" borderId="1" xfId="0" applyNumberFormat="1" applyFill="1" applyBorder="1" applyAlignment="1">
      <alignment horizontal="center" vertical="center"/>
    </xf>
    <xf numFmtId="42" fontId="12" fillId="13" borderId="1" xfId="2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12" borderId="3" xfId="0" applyFill="1" applyBorder="1" applyAlignment="1">
      <alignment vertical="center"/>
    </xf>
    <xf numFmtId="0" fontId="0" fillId="12" borderId="4" xfId="0" applyFill="1" applyBorder="1" applyAlignment="1">
      <alignment vertical="center"/>
    </xf>
    <xf numFmtId="42" fontId="12" fillId="12" borderId="1" xfId="2" applyNumberFormat="1" applyFont="1" applyFill="1" applyBorder="1" applyAlignment="1">
      <alignment horizontal="center" vertical="center"/>
    </xf>
    <xf numFmtId="164" fontId="17" fillId="1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" fontId="12" fillId="12" borderId="1" xfId="0" applyNumberFormat="1" applyFont="1" applyFill="1" applyBorder="1" applyAlignment="1">
      <alignment horizontal="center" vertical="center"/>
    </xf>
    <xf numFmtId="164" fontId="12" fillId="13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0" fillId="13" borderId="5" xfId="0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/>
    </xf>
    <xf numFmtId="0" fontId="0" fillId="13" borderId="5" xfId="0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164" fontId="0" fillId="13" borderId="1" xfId="0" applyNumberFormat="1" applyFont="1" applyFill="1" applyBorder="1" applyAlignment="1">
      <alignment horizontal="center" vertical="center"/>
    </xf>
    <xf numFmtId="0" fontId="18" fillId="15" borderId="10" xfId="3" applyBorder="1" applyAlignment="1">
      <alignment vertical="center"/>
    </xf>
    <xf numFmtId="164" fontId="18" fillId="15" borderId="1" xfId="3" applyNumberFormat="1" applyBorder="1" applyAlignment="1">
      <alignment horizontal="center" vertical="center"/>
    </xf>
    <xf numFmtId="1" fontId="18" fillId="15" borderId="1" xfId="3" applyNumberFormat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8" fillId="15" borderId="1" xfId="3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64" fontId="0" fillId="9" borderId="1" xfId="0" applyNumberFormat="1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42" fontId="0" fillId="12" borderId="1" xfId="2" applyNumberFormat="1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1" fontId="0" fillId="9" borderId="1" xfId="0" applyNumberForma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12" fillId="0" borderId="0" xfId="0" applyNumberFormat="1" applyFont="1" applyAlignment="1">
      <alignment horizontal="center" vertical="center" wrapText="1"/>
    </xf>
    <xf numFmtId="44" fontId="0" fillId="0" borderId="0" xfId="0" applyNumberFormat="1" applyFill="1" applyAlignment="1">
      <alignment vertical="center"/>
    </xf>
    <xf numFmtId="44" fontId="0" fillId="0" borderId="0" xfId="0" applyNumberFormat="1" applyFill="1"/>
    <xf numFmtId="44" fontId="0" fillId="0" borderId="0" xfId="0" applyNumberFormat="1"/>
    <xf numFmtId="0" fontId="18" fillId="15" borderId="10" xfId="3" applyBorder="1" applyAlignment="1">
      <alignment horizontal="left" vertical="center"/>
    </xf>
    <xf numFmtId="0" fontId="0" fillId="13" borderId="3" xfId="0" applyFill="1" applyBorder="1" applyAlignment="1">
      <alignment vertical="center"/>
    </xf>
    <xf numFmtId="0" fontId="0" fillId="13" borderId="4" xfId="0" applyFill="1" applyBorder="1" applyAlignment="1">
      <alignment vertical="center"/>
    </xf>
    <xf numFmtId="42" fontId="12" fillId="13" borderId="1" xfId="2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left" vertical="center"/>
    </xf>
    <xf numFmtId="0" fontId="0" fillId="13" borderId="2" xfId="0" applyFill="1" applyBorder="1" applyAlignment="1">
      <alignment horizontal="left" vertical="center"/>
    </xf>
    <xf numFmtId="164" fontId="17" fillId="13" borderId="1" xfId="0" applyNumberFormat="1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vertical="center"/>
    </xf>
    <xf numFmtId="0" fontId="0" fillId="13" borderId="2" xfId="0" applyFont="1" applyFill="1" applyBorder="1" applyAlignment="1">
      <alignment vertical="center"/>
    </xf>
    <xf numFmtId="1" fontId="0" fillId="13" borderId="1" xfId="0" applyNumberFormat="1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left" vertical="center"/>
    </xf>
    <xf numFmtId="0" fontId="0" fillId="13" borderId="2" xfId="0" applyFont="1" applyFill="1" applyBorder="1" applyAlignment="1">
      <alignment horizontal="left" vertical="center"/>
    </xf>
    <xf numFmtId="0" fontId="0" fillId="16" borderId="1" xfId="0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164" fontId="0" fillId="16" borderId="1" xfId="0" applyNumberFormat="1" applyFill="1" applyBorder="1" applyAlignment="1">
      <alignment horizontal="center" vertical="center"/>
    </xf>
    <xf numFmtId="164" fontId="12" fillId="16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2" applyNumberFormat="1" applyFont="1" applyBorder="1"/>
    <xf numFmtId="44" fontId="0" fillId="2" borderId="0" xfId="0" applyNumberForma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6" borderId="5" xfId="0" applyFill="1" applyBorder="1" applyAlignment="1">
      <alignment vertical="center"/>
    </xf>
    <xf numFmtId="0" fontId="0" fillId="6" borderId="1" xfId="0" applyFill="1" applyBorder="1"/>
    <xf numFmtId="0" fontId="0" fillId="16" borderId="5" xfId="0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2" xfId="0" applyFill="1" applyBorder="1"/>
    <xf numFmtId="0" fontId="0" fillId="16" borderId="10" xfId="0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164" fontId="0" fillId="6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13" borderId="1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1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13" borderId="9" xfId="0" applyNumberFormat="1" applyFill="1" applyBorder="1" applyAlignment="1">
      <alignment horizontal="center" vertical="center"/>
    </xf>
    <xf numFmtId="0" fontId="0" fillId="13" borderId="9" xfId="0" applyFill="1" applyBorder="1" applyAlignment="1">
      <alignment vertical="center"/>
    </xf>
    <xf numFmtId="164" fontId="0" fillId="13" borderId="9" xfId="0" applyNumberFormat="1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4" fontId="14" fillId="13" borderId="1" xfId="0" applyNumberFormat="1" applyFont="1" applyFill="1" applyBorder="1" applyAlignment="1">
      <alignment horizontal="center" vertical="center"/>
    </xf>
    <xf numFmtId="164" fontId="0" fillId="8" borderId="1" xfId="0" applyNumberFormat="1" applyFont="1" applyFill="1" applyBorder="1" applyAlignment="1">
      <alignment horizontal="center" vertical="center"/>
    </xf>
    <xf numFmtId="0" fontId="0" fillId="16" borderId="4" xfId="0" applyFill="1" applyBorder="1" applyAlignment="1">
      <alignment vertical="center"/>
    </xf>
    <xf numFmtId="0" fontId="0" fillId="13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0" fillId="13" borderId="3" xfId="0" applyFill="1" applyBorder="1" applyAlignment="1">
      <alignment horizontal="left" vertical="center"/>
    </xf>
    <xf numFmtId="0" fontId="12" fillId="2" borderId="4" xfId="0" applyFont="1" applyFill="1" applyBorder="1" applyAlignment="1">
      <alignment vertical="center"/>
    </xf>
    <xf numFmtId="0" fontId="0" fillId="13" borderId="4" xfId="0" applyFill="1" applyBorder="1" applyAlignment="1">
      <alignment horizontal="left" vertical="center"/>
    </xf>
    <xf numFmtId="0" fontId="0" fillId="13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13" borderId="9" xfId="0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4" fontId="0" fillId="13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13" borderId="10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13" borderId="4" xfId="0" applyNumberFormat="1" applyFill="1" applyBorder="1" applyAlignment="1">
      <alignment horizontal="center" vertical="center"/>
    </xf>
    <xf numFmtId="164" fontId="0" fillId="13" borderId="2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12" borderId="4" xfId="0" applyNumberFormat="1" applyFill="1" applyBorder="1" applyAlignment="1">
      <alignment horizontal="center" vertical="center"/>
    </xf>
    <xf numFmtId="164" fontId="0" fillId="12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44" fontId="12" fillId="12" borderId="1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0" fillId="6" borderId="1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164" fontId="0" fillId="6" borderId="1" xfId="0" applyNumberFormat="1" applyFont="1" applyFill="1" applyBorder="1" applyAlignment="1">
      <alignment horizontal="center" vertical="center"/>
    </xf>
    <xf numFmtId="164" fontId="0" fillId="6" borderId="2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42" fontId="11" fillId="6" borderId="1" xfId="2" applyNumberFormat="1" applyFont="1" applyFill="1" applyBorder="1" applyAlignment="1">
      <alignment vertical="center"/>
    </xf>
    <xf numFmtId="44" fontId="2" fillId="5" borderId="1" xfId="2" applyFont="1" applyFill="1" applyBorder="1" applyAlignment="1">
      <alignment horizontal="center" vertical="center"/>
    </xf>
    <xf numFmtId="44" fontId="11" fillId="5" borderId="1" xfId="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42" fontId="0" fillId="0" borderId="0" xfId="0" applyNumberFormat="1" applyFont="1" applyAlignment="1">
      <alignment vertical="center"/>
    </xf>
    <xf numFmtId="0" fontId="0" fillId="6" borderId="9" xfId="0" applyFont="1" applyFill="1" applyBorder="1" applyAlignment="1">
      <alignment vertical="center"/>
    </xf>
    <xf numFmtId="164" fontId="0" fillId="6" borderId="9" xfId="0" applyNumberFormat="1" applyFont="1" applyFill="1" applyBorder="1" applyAlignment="1">
      <alignment horizontal="center" vertical="center"/>
    </xf>
    <xf numFmtId="166" fontId="12" fillId="13" borderId="22" xfId="2" applyNumberFormat="1" applyFont="1" applyFill="1" applyBorder="1" applyAlignment="1">
      <alignment horizontal="center" vertical="center"/>
    </xf>
    <xf numFmtId="42" fontId="11" fillId="7" borderId="1" xfId="2" applyNumberFormat="1" applyFont="1" applyFill="1" applyBorder="1" applyAlignment="1">
      <alignment vertical="center"/>
    </xf>
    <xf numFmtId="164" fontId="18" fillId="15" borderId="9" xfId="3" applyNumberFormat="1" applyBorder="1" applyAlignment="1">
      <alignment horizontal="center" vertical="center"/>
    </xf>
    <xf numFmtId="0" fontId="19" fillId="15" borderId="9" xfId="3" applyFont="1" applyBorder="1" applyAlignment="1">
      <alignment vertical="center"/>
    </xf>
    <xf numFmtId="164" fontId="18" fillId="15" borderId="10" xfId="3" applyNumberFormat="1" applyBorder="1" applyAlignment="1">
      <alignment horizontal="center" vertical="center"/>
    </xf>
    <xf numFmtId="0" fontId="0" fillId="16" borderId="3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6" borderId="10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164" fontId="0" fillId="6" borderId="26" xfId="0" applyNumberFormat="1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6" borderId="0" xfId="0" applyNumberFormat="1" applyFont="1" applyFill="1" applyBorder="1" applyAlignment="1">
      <alignment horizontal="center" vertical="center"/>
    </xf>
    <xf numFmtId="164" fontId="0" fillId="6" borderId="4" xfId="0" applyNumberFormat="1" applyFont="1" applyFill="1" applyBorder="1" applyAlignment="1">
      <alignment horizontal="center" vertical="center"/>
    </xf>
    <xf numFmtId="164" fontId="0" fillId="13" borderId="27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64" fontId="0" fillId="6" borderId="5" xfId="0" applyNumberFormat="1" applyFont="1" applyFill="1" applyBorder="1" applyAlignment="1">
      <alignment horizontal="center" vertical="center"/>
    </xf>
    <xf numFmtId="4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6" borderId="23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39" fontId="0" fillId="0" borderId="0" xfId="2" applyNumberFormat="1" applyFont="1" applyBorder="1"/>
    <xf numFmtId="164" fontId="17" fillId="0" borderId="1" xfId="0" applyNumberFormat="1" applyFon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44" fontId="0" fillId="0" borderId="1" xfId="2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17" borderId="1" xfId="0" applyNumberFormat="1" applyFill="1" applyBorder="1" applyAlignment="1">
      <alignment horizontal="center" vertical="center"/>
    </xf>
    <xf numFmtId="1" fontId="0" fillId="17" borderId="1" xfId="0" applyNumberFormat="1" applyFill="1" applyBorder="1" applyAlignment="1">
      <alignment horizontal="center" vertical="center"/>
    </xf>
    <xf numFmtId="0" fontId="0" fillId="9" borderId="4" xfId="0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center" vertical="center"/>
    </xf>
    <xf numFmtId="164" fontId="12" fillId="0" borderId="16" xfId="0" applyNumberFormat="1" applyFont="1" applyBorder="1" applyAlignment="1">
      <alignment horizontal="right" vertical="center"/>
    </xf>
    <xf numFmtId="44" fontId="12" fillId="2" borderId="1" xfId="2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4" fontId="0" fillId="6" borderId="26" xfId="0" applyNumberForma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0" fillId="7" borderId="9" xfId="0" applyNumberFormat="1" applyFill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4" fontId="0" fillId="6" borderId="23" xfId="0" applyNumberFormat="1" applyFill="1" applyBorder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4" fontId="0" fillId="5" borderId="0" xfId="2" applyFont="1" applyFill="1" applyBorder="1"/>
    <xf numFmtId="44" fontId="0" fillId="0" borderId="0" xfId="0" applyNumberFormat="1" applyBorder="1"/>
    <xf numFmtId="0" fontId="0" fillId="0" borderId="0" xfId="0" applyBorder="1"/>
    <xf numFmtId="164" fontId="0" fillId="6" borderId="3" xfId="0" applyNumberFormat="1" applyFont="1" applyFill="1" applyBorder="1" applyAlignment="1">
      <alignment horizontal="center" vertical="center"/>
    </xf>
    <xf numFmtId="164" fontId="18" fillId="15" borderId="2" xfId="3" applyNumberFormat="1" applyBorder="1" applyAlignment="1">
      <alignment horizontal="center" vertical="center"/>
    </xf>
    <xf numFmtId="0" fontId="18" fillId="15" borderId="9" xfId="3" applyBorder="1" applyAlignment="1">
      <alignment vertical="center"/>
    </xf>
    <xf numFmtId="164" fontId="18" fillId="15" borderId="4" xfId="3" applyNumberFormat="1" applyBorder="1" applyAlignment="1">
      <alignment horizontal="center" vertical="center"/>
    </xf>
    <xf numFmtId="0" fontId="0" fillId="13" borderId="1" xfId="0" applyFill="1" applyBorder="1"/>
    <xf numFmtId="164" fontId="0" fillId="0" borderId="27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0" fillId="0" borderId="28" xfId="0" applyFont="1" applyBorder="1" applyAlignment="1">
      <alignment horizontal="right" wrapText="1"/>
    </xf>
    <xf numFmtId="0" fontId="20" fillId="0" borderId="29" xfId="0" applyFont="1" applyBorder="1" applyAlignment="1">
      <alignment horizontal="right" wrapText="1"/>
    </xf>
    <xf numFmtId="166" fontId="12" fillId="0" borderId="6" xfId="2" applyNumberFormat="1" applyFont="1" applyFill="1" applyBorder="1" applyAlignment="1">
      <alignment horizontal="center" vertical="center"/>
    </xf>
    <xf numFmtId="166" fontId="12" fillId="0" borderId="7" xfId="2" applyNumberFormat="1" applyFont="1" applyFill="1" applyBorder="1" applyAlignment="1">
      <alignment horizontal="center" vertical="center"/>
    </xf>
    <xf numFmtId="166" fontId="12" fillId="0" borderId="8" xfId="2" applyNumberFormat="1" applyFont="1" applyFill="1" applyBorder="1" applyAlignment="1">
      <alignment horizontal="center" vertical="center"/>
    </xf>
    <xf numFmtId="166" fontId="12" fillId="13" borderId="21" xfId="2" applyNumberFormat="1" applyFont="1" applyFill="1" applyBorder="1" applyAlignment="1">
      <alignment horizontal="center" vertical="center"/>
    </xf>
    <xf numFmtId="166" fontId="12" fillId="14" borderId="22" xfId="2" applyNumberFormat="1" applyFont="1" applyFill="1" applyBorder="1" applyAlignment="1">
      <alignment horizontal="center" vertical="center"/>
    </xf>
    <xf numFmtId="166" fontId="12" fillId="14" borderId="25" xfId="2" applyNumberFormat="1" applyFont="1" applyFill="1" applyBorder="1" applyAlignment="1">
      <alignment horizontal="center" vertical="center"/>
    </xf>
  </cellXfs>
  <cellStyles count="4">
    <cellStyle name="Bad" xfId="3" builtinId="27"/>
    <cellStyle name="Currency" xfId="2" builtinId="4"/>
    <cellStyle name="Hyperlink" xfId="1" builtinId="8"/>
    <cellStyle name="Normal" xfId="0" builtinId="0"/>
  </cellStyles>
  <dxfs count="238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obby Snyder" id="{C715B775-CCC2-4EF5-AA58-9FE3CA6B7C07}" userId="S::bobbysnyder@ashtongray.com::ad38bddc-607e-4ba7-a17d-9a3139bf7600" providerId="AD"/>
  <person displayName="Jenna Adkins" id="{3A1ABAC6-ACCC-49D7-9A95-565CE0385B57}" userId="S::jennaadkins@ashtongray.com::e40c1dc1-99d6-4195-8494-d89700ec6673" providerId="AD"/>
  <person displayName="Trevor Hayes" id="{397BAAFB-EE7E-4C7C-BF52-766744D68722}" userId="S::trevorhayes@ashtongray.com::2120342c-8a1f-4668-99bd-9e296f90a6f2" providerId="AD"/>
  <person displayName="Brandon Cheney" id="{82F21C7D-53FA-471E-8D8F-B29FD2C05442}" userId="S::brandoncheney@ashtongray.com::4e975ed6-a75f-4268-b26f-d473cb47b31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7" dT="2021-05-12T14:22:19.42" personId="{82F21C7D-53FA-471E-8D8F-B29FD2C05442}" id="{7FE6357C-655F-4C04-A4FA-B1C5ED4A5AF0}">
    <text>Trevor has to resubmit new site plan for shell</text>
  </threadedComment>
  <threadedComment ref="P21" dT="2021-06-02T18:30:10.60" personId="{397BAAFB-EE7E-4C7C-BF52-766744D68722}" id="{0AC96804-20C7-4816-ADFA-3C23728EEF31}">
    <text>Land Issue, will be pushed back. Date TBD</text>
  </threadedComment>
  <threadedComment ref="C23" dT="2021-04-28T14:29:51.70" personId="{82F21C7D-53FA-471E-8D8F-B29FD2C05442}" id="{A21A9FFF-A3D1-4F34-BEB6-3644F2A88009}">
    <text>Site approval is in City and preapproval is needed prior to building permit review</text>
  </threadedComment>
  <threadedComment ref="C26" dT="2021-04-28T14:28:28.62" personId="{82F21C7D-53FA-471E-8D8F-B29FD2C05442}" id="{B853EC8F-4D10-4548-9A93-0735FA246248}">
    <text>Going in for site approval</text>
  </threadedComment>
  <threadedComment ref="P30" dT="2021-04-21T14:31:08.38" personId="{82F21C7D-53FA-471E-8D8F-B29FD2C05442}" id="{3E0E36D7-A5ED-4D4C-8B11-2A3AE1E1138A}">
    <text>Site permit comment from City of Edmond Moved Date</text>
  </threadedComment>
  <threadedComment ref="C31" dT="2021-04-21T14:44:45.81" personId="{82F21C7D-53FA-471E-8D8F-B29FD2C05442}" id="{01F40750-CE92-4390-9B69-8DF582D1BEF5}">
    <text>Working through site issues</text>
  </threadedComment>
  <threadedComment ref="C38" dT="2021-04-21T14:43:28.74" personId="{82F21C7D-53FA-471E-8D8F-B29FD2C05442}" id="{BA90CD67-9DC6-48A2-90B6-11FFBAF88E69}">
    <text>Finish out of existing building so may go faster</text>
  </threadedComment>
  <threadedComment ref="C38" dT="2021-05-12T14:29:43.61" personId="{82F21C7D-53FA-471E-8D8F-B29FD2C05442}" id="{9AE4AE19-247F-4ACA-AF38-9929A67BB846}" parentId="{BA90CD67-9DC6-48A2-90B6-11FFBAF88E69}">
    <text>General Contractor to submit for AGC</text>
  </threadedComment>
  <threadedComment ref="C42" dT="2021-05-12T14:35:02.99" personId="{82F21C7D-53FA-471E-8D8F-B29FD2C05442}" id="{E6455DFE-0136-4508-A05A-8A18D74D5B4E}">
    <text>Peggy to set up project number</text>
  </threadedComment>
  <threadedComment ref="C43" dT="2021-05-12T14:35:02.99" personId="{82F21C7D-53FA-471E-8D8F-B29FD2C05442}" id="{F78FBAEE-B93C-4DE7-97C3-A17BC7C61187}">
    <text>Peggy to set up project number</text>
  </threadedComment>
  <threadedComment ref="C44" dT="2021-04-28T14:37:05.74" personId="{82F21C7D-53FA-471E-8D8F-B29FD2C05442}" id="{1C2CD7DD-32B7-4911-81EE-7D627AAA3036}">
    <text>Stand alone building on Santa Fe Developement</text>
  </threadedComment>
  <threadedComment ref="C44" dT="2021-05-12T14:35:35.90" personId="{82F21C7D-53FA-471E-8D8F-B29FD2C05442}" id="{16C0D15F-49CE-41E7-B68C-D70711554E8C}" parentId="{1C2CD7DD-32B7-4911-81EE-7D627AAA3036}">
    <text>Peggy to set up project number</text>
  </threadedComment>
  <threadedComment ref="C45" dT="2021-04-28T14:37:05.74" personId="{82F21C7D-53FA-471E-8D8F-B29FD2C05442}" id="{4D6A6C55-E269-4AA6-BE0C-1AF5A5C135FC}">
    <text>Stand alone building on Santa Fe Developement</text>
  </threadedComment>
  <threadedComment ref="C45" dT="2021-05-12T14:35:35.90" personId="{82F21C7D-53FA-471E-8D8F-B29FD2C05442}" id="{B3DA3819-C6B3-4FD7-8DEF-B78F36ADA7A7}" parentId="{4D6A6C55-E269-4AA6-BE0C-1AF5A5C135FC}">
    <text>Peggy to set up project number</text>
  </threadedComment>
  <threadedComment ref="C49" dT="2021-04-14T14:47:45.91" personId="{82F21C7D-53FA-471E-8D8F-B29FD2C05442}" id="{B32BFA18-1E3F-4AB0-9A14-6221EB88CC3D}">
    <text>Will have a pilon sign</text>
  </threadedComment>
  <threadedComment ref="N77" dT="2020-10-26T13:40:59.15" personId="{C715B775-CCC2-4EF5-AA58-9FE3CA6B7C07}" id="{9894B57D-0B84-42CC-AABC-6BBD060775A2}">
    <text>Current Tenent has 30 Days to Vacate Upon Closing</text>
  </threadedComment>
  <threadedComment ref="U80" dT="2020-09-24T14:35:23.73" personId="{3A1ABAC6-ACCC-49D7-9A95-565CE0385B57}" id="{000274A9-5262-4BE2-8F4B-2C921272DD2A}">
    <text>Has to complete prior to 2/1/2020.  Just Kids lease is expiring and they will not be granted extensions.</text>
  </threadedComment>
  <threadedComment ref="U81" dT="2020-09-24T14:35:23.73" personId="{3A1ABAC6-ACCC-49D7-9A95-565CE0385B57}" id="{00773738-85DA-4D47-BCE1-86FBB73E02FD}">
    <text>Has to complete prior to 2/1/2020.  Just Kids lease is expiring and they will not be granted extensions.</text>
  </threadedComment>
  <threadedComment ref="U82" dT="2020-09-24T14:35:23.73" personId="{3A1ABAC6-ACCC-49D7-9A95-565CE0385B57}" id="{A4F7DF24-CA05-452E-A171-9ACA94E94BED}">
    <text>Has to complete prior to 2/1/2020.  Just Kids lease is expiring and they will not be granted extensions.</text>
  </threadedComment>
  <threadedComment ref="U93" dT="2020-09-24T14:35:49.83" personId="{3A1ABAC6-ACCC-49D7-9A95-565CE0385B57}" id="{702A5F71-2CBC-4F6B-BD79-53C590C1EF69}">
    <text>Not sure if this date has changed</text>
  </threadedComment>
  <threadedComment ref="U93" dT="2020-09-24T18:27:10.34" personId="{C715B775-CCC2-4EF5-AA58-9FE3CA6B7C07}" id="{9D09A4DB-F3AA-4ED5-9F86-6D3CFC78427A}" parentId="{702A5F71-2CBC-4F6B-BD79-53C590C1EF69}">
    <text>Testing to see what this does if I reply. Date will be 10/16</text>
  </threadedComment>
  <threadedComment ref="N94" dT="2020-10-26T13:49:35.05" personId="{C715B775-CCC2-4EF5-AA58-9FE3CA6B7C07}" id="{19A531EA-6F28-4DC2-A9A6-4EF5233777C3}">
    <text>Pending Denver's approval to release CDs. CDs will take 4 weeks to develop from IDP approval.</text>
  </threadedComment>
  <threadedComment ref="N95" dT="2020-10-26T13:49:35.05" personId="{C715B775-CCC2-4EF5-AA58-9FE3CA6B7C07}" id="{2DFD7EB4-1027-49A9-915E-C115E0E4C7D1}">
    <text>Pending Denver's approval to release CDs. CDs will take 4 weeks to develop from IDP approval.</text>
  </threadedComment>
  <threadedComment ref="Q99" dT="2020-10-01T15:09:41.85" personId="{C715B775-CCC2-4EF5-AA58-9FE3CA6B7C07}" id="{DAE650CC-30AF-4462-BCFA-D1CCC037B976}">
    <text>Building is exsisting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67B3-FCE4-4CB2-A98B-0F01DF193F07}">
  <sheetPr>
    <pageSetUpPr fitToPage="1"/>
  </sheetPr>
  <dimension ref="A1:AC154"/>
  <sheetViews>
    <sheetView tabSelected="1" view="pageBreakPreview" topLeftCell="I1" zoomScale="70" zoomScaleNormal="70" zoomScaleSheetLayoutView="70" workbookViewId="0">
      <pane ySplit="2" topLeftCell="A3" activePane="bottomLeft" state="frozen"/>
      <selection pane="bottomLeft" activeCell="AA11" sqref="AA11"/>
    </sheetView>
  </sheetViews>
  <sheetFormatPr defaultColWidth="9.42578125" defaultRowHeight="15.75" x14ac:dyDescent="0.25"/>
  <cols>
    <col min="1" max="2" width="21" style="3" customWidth="1"/>
    <col min="3" max="3" width="46.5703125" style="1" customWidth="1"/>
    <col min="4" max="6" width="42.42578125" style="1" customWidth="1"/>
    <col min="7" max="7" width="24.5703125" style="1" customWidth="1"/>
    <col min="8" max="8" width="31.5703125" style="1" customWidth="1"/>
    <col min="9" max="9" width="24.5703125" style="14" customWidth="1"/>
    <col min="10" max="10" width="21" style="3" customWidth="1"/>
    <col min="11" max="11" width="34.42578125" style="1" customWidth="1"/>
    <col min="12" max="12" width="14.42578125" style="2" customWidth="1"/>
    <col min="13" max="13" width="20.42578125" style="7" customWidth="1"/>
    <col min="14" max="14" width="24.42578125" style="7" customWidth="1"/>
    <col min="15" max="15" width="40.5703125" style="7" customWidth="1"/>
    <col min="16" max="17" width="20.42578125" style="14" customWidth="1"/>
    <col min="18" max="18" width="17" style="31" customWidth="1"/>
    <col min="19" max="19" width="20.42578125" style="2" customWidth="1"/>
    <col min="20" max="20" width="20.42578125" style="14" customWidth="1"/>
    <col min="21" max="21" width="20.42578125" style="7" customWidth="1"/>
    <col min="22" max="22" width="15.5703125" style="17" customWidth="1"/>
    <col min="23" max="23" width="12.5703125" style="14" customWidth="1"/>
    <col min="24" max="24" width="12.42578125" style="14" customWidth="1"/>
    <col min="25" max="25" width="10.5703125" style="121" customWidth="1"/>
    <col min="26" max="26" width="9.42578125" style="1" customWidth="1"/>
    <col min="27" max="16384" width="9.42578125" style="1"/>
  </cols>
  <sheetData>
    <row r="1" spans="1:25" s="6" customFormat="1" ht="43.3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954</v>
      </c>
      <c r="F1" s="4" t="s">
        <v>955</v>
      </c>
      <c r="G1" s="4" t="s">
        <v>4</v>
      </c>
      <c r="H1" s="21" t="s">
        <v>5</v>
      </c>
      <c r="I1" s="22" t="s">
        <v>6</v>
      </c>
      <c r="J1" s="4" t="s">
        <v>12</v>
      </c>
      <c r="K1" s="4" t="s">
        <v>7</v>
      </c>
      <c r="L1" s="4" t="s">
        <v>8</v>
      </c>
      <c r="M1" s="10" t="s">
        <v>9</v>
      </c>
      <c r="N1" s="10" t="s">
        <v>10</v>
      </c>
      <c r="O1" s="10" t="s">
        <v>11</v>
      </c>
      <c r="P1" s="10" t="s">
        <v>13</v>
      </c>
      <c r="Q1" s="10" t="s">
        <v>14</v>
      </c>
      <c r="R1" s="29" t="s">
        <v>15</v>
      </c>
      <c r="S1" s="4" t="s">
        <v>16</v>
      </c>
      <c r="T1" s="10" t="s">
        <v>17</v>
      </c>
      <c r="U1" s="10" t="s">
        <v>18</v>
      </c>
      <c r="V1" s="15" t="s">
        <v>19</v>
      </c>
      <c r="W1" s="10" t="s">
        <v>20</v>
      </c>
      <c r="X1" s="10" t="s">
        <v>21</v>
      </c>
      <c r="Y1" s="10" t="s">
        <v>22</v>
      </c>
    </row>
    <row r="2" spans="1:25" s="194" customFormat="1" ht="17.100000000000001" customHeight="1" x14ac:dyDescent="0.25">
      <c r="A2" s="195" t="s">
        <v>453</v>
      </c>
      <c r="B2" s="195" t="s">
        <v>453</v>
      </c>
      <c r="C2" s="195" t="s">
        <v>453</v>
      </c>
      <c r="D2" s="195" t="s">
        <v>454</v>
      </c>
      <c r="E2" s="195"/>
      <c r="F2" s="195"/>
      <c r="G2" s="195" t="s">
        <v>455</v>
      </c>
      <c r="H2" s="196" t="s">
        <v>455</v>
      </c>
      <c r="I2" s="197" t="s">
        <v>453</v>
      </c>
      <c r="J2" s="195" t="s">
        <v>455</v>
      </c>
      <c r="K2" s="195" t="s">
        <v>454</v>
      </c>
      <c r="L2" s="195" t="s">
        <v>454</v>
      </c>
      <c r="M2" s="197" t="s">
        <v>454</v>
      </c>
      <c r="N2" s="197" t="s">
        <v>454</v>
      </c>
      <c r="O2" s="197" t="s">
        <v>454</v>
      </c>
      <c r="P2" s="197" t="s">
        <v>456</v>
      </c>
      <c r="Q2" s="197" t="s">
        <v>456</v>
      </c>
      <c r="R2" s="198" t="s">
        <v>456</v>
      </c>
      <c r="S2" s="195" t="s">
        <v>457</v>
      </c>
      <c r="T2" s="197" t="s">
        <v>458</v>
      </c>
      <c r="U2" s="197" t="s">
        <v>458</v>
      </c>
      <c r="V2" s="199" t="s">
        <v>458</v>
      </c>
      <c r="W2" s="197" t="s">
        <v>458</v>
      </c>
      <c r="X2" s="197" t="s">
        <v>458</v>
      </c>
      <c r="Y2" s="197" t="s">
        <v>459</v>
      </c>
    </row>
    <row r="3" spans="1:25" x14ac:dyDescent="0.25">
      <c r="I3" s="269"/>
    </row>
    <row r="5" spans="1:25" s="8" customFormat="1" ht="30" customHeight="1" thickBot="1" x14ac:dyDescent="0.3">
      <c r="A5" s="32" t="s">
        <v>166</v>
      </c>
      <c r="B5" s="32" t="s">
        <v>167</v>
      </c>
      <c r="C5" s="33" t="s">
        <v>168</v>
      </c>
      <c r="D5" s="33" t="s">
        <v>169</v>
      </c>
      <c r="E5" s="33" t="s">
        <v>953</v>
      </c>
      <c r="F5" s="33"/>
      <c r="G5" s="156" t="s">
        <v>27</v>
      </c>
      <c r="H5" s="33" t="s">
        <v>44</v>
      </c>
      <c r="I5" s="33"/>
      <c r="J5" s="32" t="s">
        <v>46</v>
      </c>
      <c r="K5" s="33" t="s">
        <v>45</v>
      </c>
      <c r="L5" s="32" t="s">
        <v>30</v>
      </c>
      <c r="M5" s="23" t="s">
        <v>24</v>
      </c>
      <c r="N5" s="170">
        <v>44115</v>
      </c>
      <c r="O5" s="170"/>
      <c r="P5" s="176" t="s">
        <v>24</v>
      </c>
      <c r="Q5" s="176">
        <v>44302</v>
      </c>
      <c r="R5" s="206" t="s">
        <v>24</v>
      </c>
      <c r="S5" s="169">
        <v>1000000</v>
      </c>
      <c r="T5" s="170">
        <v>44319</v>
      </c>
      <c r="U5" s="170">
        <f>T5+(4*7*V5)</f>
        <v>44571</v>
      </c>
      <c r="V5" s="157">
        <v>9</v>
      </c>
      <c r="W5" s="23"/>
      <c r="X5" s="23"/>
      <c r="Y5" s="172"/>
    </row>
    <row r="6" spans="1:25" s="8" customFormat="1" ht="30" customHeight="1" thickBot="1" x14ac:dyDescent="0.3">
      <c r="A6" s="32" t="s">
        <v>170</v>
      </c>
      <c r="B6" s="32" t="s">
        <v>167</v>
      </c>
      <c r="C6" s="33" t="s">
        <v>171</v>
      </c>
      <c r="D6" s="33" t="s">
        <v>172</v>
      </c>
      <c r="E6" s="524">
        <v>35.334314300000003</v>
      </c>
      <c r="F6" s="525">
        <v>-97.514394300000006</v>
      </c>
      <c r="G6" s="156" t="s">
        <v>27</v>
      </c>
      <c r="H6" s="33" t="s">
        <v>44</v>
      </c>
      <c r="I6" s="33"/>
      <c r="J6" s="32" t="s">
        <v>73</v>
      </c>
      <c r="K6" s="33" t="s">
        <v>173</v>
      </c>
      <c r="L6" s="32" t="s">
        <v>30</v>
      </c>
      <c r="M6" s="23">
        <v>43943</v>
      </c>
      <c r="N6" s="170" t="s">
        <v>473</v>
      </c>
      <c r="O6" s="170"/>
      <c r="P6" s="155">
        <v>44201</v>
      </c>
      <c r="Q6" s="170">
        <v>44302</v>
      </c>
      <c r="R6" s="168">
        <f>Q6-P6</f>
        <v>101</v>
      </c>
      <c r="S6" s="169">
        <v>975000</v>
      </c>
      <c r="T6" s="170">
        <v>44319</v>
      </c>
      <c r="U6" s="170">
        <f>T6+(V6*7*4.3)</f>
        <v>44559.8</v>
      </c>
      <c r="V6" s="157">
        <v>8</v>
      </c>
      <c r="W6" s="23"/>
      <c r="X6" s="23"/>
      <c r="Y6" s="172"/>
    </row>
    <row r="7" spans="1:25" s="8" customFormat="1" ht="30" customHeight="1" thickBot="1" x14ac:dyDescent="0.3">
      <c r="A7" s="32" t="s">
        <v>174</v>
      </c>
      <c r="B7" s="32" t="s">
        <v>167</v>
      </c>
      <c r="C7" s="33" t="s">
        <v>175</v>
      </c>
      <c r="D7" s="33" t="s">
        <v>172</v>
      </c>
      <c r="E7" s="524">
        <v>35.334314300000003</v>
      </c>
      <c r="F7" s="525">
        <v>-97.514394300000006</v>
      </c>
      <c r="G7" s="156" t="s">
        <v>27</v>
      </c>
      <c r="H7" s="33" t="s">
        <v>44</v>
      </c>
      <c r="I7" s="33"/>
      <c r="J7" s="32" t="s">
        <v>73</v>
      </c>
      <c r="K7" s="33" t="s">
        <v>45</v>
      </c>
      <c r="L7" s="32" t="s">
        <v>30</v>
      </c>
      <c r="M7" s="23" t="s">
        <v>24</v>
      </c>
      <c r="N7" s="170" t="s">
        <v>473</v>
      </c>
      <c r="O7" s="170"/>
      <c r="P7" s="155">
        <v>44284</v>
      </c>
      <c r="Q7" s="170">
        <v>44423</v>
      </c>
      <c r="R7" s="168">
        <f>Q7-P7</f>
        <v>139</v>
      </c>
      <c r="S7" s="169">
        <v>900</v>
      </c>
      <c r="T7" s="170">
        <v>44382</v>
      </c>
      <c r="U7" s="170">
        <f>T7+(V7*7*4.3)</f>
        <v>44562.6</v>
      </c>
      <c r="V7" s="157">
        <v>6</v>
      </c>
      <c r="W7" s="23"/>
      <c r="X7" s="23"/>
      <c r="Y7" s="172"/>
    </row>
    <row r="8" spans="1:25" s="8" customFormat="1" ht="30" customHeight="1" thickBot="1" x14ac:dyDescent="0.3">
      <c r="A8" s="32" t="s">
        <v>176</v>
      </c>
      <c r="B8" s="32" t="s">
        <v>167</v>
      </c>
      <c r="C8" s="33" t="s">
        <v>177</v>
      </c>
      <c r="D8" s="33" t="s">
        <v>172</v>
      </c>
      <c r="E8" s="524">
        <v>35.334314300000003</v>
      </c>
      <c r="F8" s="525">
        <v>-97.514394300000006</v>
      </c>
      <c r="G8" s="156" t="s">
        <v>27</v>
      </c>
      <c r="H8" s="33" t="s">
        <v>44</v>
      </c>
      <c r="I8" s="33"/>
      <c r="J8" s="32" t="s">
        <v>73</v>
      </c>
      <c r="K8" s="33" t="s">
        <v>45</v>
      </c>
      <c r="L8" s="32" t="s">
        <v>30</v>
      </c>
      <c r="M8" s="23" t="s">
        <v>24</v>
      </c>
      <c r="N8" s="170" t="s">
        <v>473</v>
      </c>
      <c r="O8" s="170"/>
      <c r="P8" s="170">
        <v>44367</v>
      </c>
      <c r="Q8" s="170">
        <v>44423</v>
      </c>
      <c r="R8" s="168">
        <v>10</v>
      </c>
      <c r="S8" s="169">
        <v>175000</v>
      </c>
      <c r="T8" s="170">
        <f>Q8+30</f>
        <v>44453</v>
      </c>
      <c r="U8" s="170">
        <f>T8+(V8*7*4.3)</f>
        <v>44633.599999999999</v>
      </c>
      <c r="V8" s="157">
        <v>6</v>
      </c>
      <c r="W8" s="23"/>
      <c r="X8" s="23"/>
      <c r="Y8" s="172"/>
    </row>
    <row r="9" spans="1:25" s="8" customFormat="1" ht="30" customHeight="1" thickBot="1" x14ac:dyDescent="0.3">
      <c r="A9" s="32" t="s">
        <v>60</v>
      </c>
      <c r="B9" s="32" t="s">
        <v>24</v>
      </c>
      <c r="C9" s="24" t="s">
        <v>61</v>
      </c>
      <c r="D9" s="24" t="s">
        <v>62</v>
      </c>
      <c r="E9" s="524">
        <v>35.557203199999996</v>
      </c>
      <c r="F9" s="525">
        <v>-97.510666000000001</v>
      </c>
      <c r="G9" s="24" t="s">
        <v>52</v>
      </c>
      <c r="H9" s="33" t="s">
        <v>63</v>
      </c>
      <c r="I9" s="23">
        <v>44499</v>
      </c>
      <c r="J9" s="167" t="s">
        <v>46</v>
      </c>
      <c r="K9" s="33" t="s">
        <v>64</v>
      </c>
      <c r="L9" s="32" t="s">
        <v>30</v>
      </c>
      <c r="M9" s="23">
        <v>43885</v>
      </c>
      <c r="N9" s="23">
        <v>44099</v>
      </c>
      <c r="O9" s="23" t="s">
        <v>462</v>
      </c>
      <c r="P9" s="155">
        <v>44054</v>
      </c>
      <c r="Q9" s="155">
        <v>44147</v>
      </c>
      <c r="R9" s="159">
        <f t="shared" ref="R9:R15" si="0">Q9-P9</f>
        <v>93</v>
      </c>
      <c r="S9" s="169">
        <v>13407911</v>
      </c>
      <c r="T9" s="23">
        <v>44119</v>
      </c>
      <c r="U9" s="170">
        <v>44531</v>
      </c>
      <c r="V9" s="171">
        <f>(U9-T9)/7/4.3</f>
        <v>13.687707641196013</v>
      </c>
      <c r="W9" s="23"/>
      <c r="X9" s="23"/>
      <c r="Y9" s="172"/>
    </row>
    <row r="10" spans="1:25" s="8" customFormat="1" ht="30" customHeight="1" thickBot="1" x14ac:dyDescent="0.3">
      <c r="A10" s="32" t="s">
        <v>71</v>
      </c>
      <c r="B10" s="32" t="s">
        <v>24</v>
      </c>
      <c r="C10" s="33" t="s">
        <v>72</v>
      </c>
      <c r="D10" s="33" t="s">
        <v>67</v>
      </c>
      <c r="E10" s="524">
        <v>36.060611700000003</v>
      </c>
      <c r="F10" s="525">
        <v>-96.000273899999996</v>
      </c>
      <c r="G10" s="33" t="s">
        <v>68</v>
      </c>
      <c r="H10" s="33" t="s">
        <v>69</v>
      </c>
      <c r="I10" s="200"/>
      <c r="J10" s="167" t="s">
        <v>46</v>
      </c>
      <c r="K10" s="33" t="s">
        <v>70</v>
      </c>
      <c r="L10" s="32" t="s">
        <v>40</v>
      </c>
      <c r="M10" s="23">
        <v>43679</v>
      </c>
      <c r="N10" s="23">
        <v>43808</v>
      </c>
      <c r="O10" s="23"/>
      <c r="P10" s="155">
        <v>44279</v>
      </c>
      <c r="Q10" s="170">
        <f>P10+23</f>
        <v>44302</v>
      </c>
      <c r="R10" s="168">
        <f t="shared" si="0"/>
        <v>23</v>
      </c>
      <c r="S10" s="173">
        <v>177819</v>
      </c>
      <c r="T10" s="170">
        <f>Q10+15</f>
        <v>44317</v>
      </c>
      <c r="U10" s="174">
        <v>44446</v>
      </c>
      <c r="V10" s="171">
        <f>(U10-T10)/7/4.3</f>
        <v>4.2857142857142856</v>
      </c>
      <c r="W10" s="23"/>
      <c r="X10" s="23"/>
      <c r="Y10" s="172"/>
    </row>
    <row r="11" spans="1:25" s="8" customFormat="1" ht="30" customHeight="1" thickBot="1" x14ac:dyDescent="0.3">
      <c r="A11" s="32" t="s">
        <v>87</v>
      </c>
      <c r="B11" s="32" t="s">
        <v>24</v>
      </c>
      <c r="C11" s="33" t="s">
        <v>88</v>
      </c>
      <c r="D11" s="33" t="s">
        <v>89</v>
      </c>
      <c r="E11" s="524">
        <v>36.288742200000002</v>
      </c>
      <c r="F11" s="525">
        <v>-95.822114999999997</v>
      </c>
      <c r="G11" s="33" t="s">
        <v>68</v>
      </c>
      <c r="H11" s="33" t="s">
        <v>69</v>
      </c>
      <c r="I11" s="32" t="s">
        <v>90</v>
      </c>
      <c r="J11" s="167" t="s">
        <v>46</v>
      </c>
      <c r="K11" s="33" t="s">
        <v>91</v>
      </c>
      <c r="L11" s="32" t="s">
        <v>30</v>
      </c>
      <c r="M11" s="23">
        <v>43731</v>
      </c>
      <c r="N11" s="23">
        <v>44152</v>
      </c>
      <c r="O11" s="23" t="s">
        <v>464</v>
      </c>
      <c r="P11" s="155">
        <v>44071</v>
      </c>
      <c r="Q11" s="155">
        <v>44260</v>
      </c>
      <c r="R11" s="168">
        <f t="shared" si="0"/>
        <v>189</v>
      </c>
      <c r="S11" s="169">
        <v>700000</v>
      </c>
      <c r="T11" s="170">
        <f>Q11+30</f>
        <v>44290</v>
      </c>
      <c r="U11" s="174">
        <v>44466</v>
      </c>
      <c r="V11" s="157">
        <v>3.4</v>
      </c>
      <c r="W11" s="23"/>
      <c r="X11" s="23"/>
      <c r="Y11" s="172"/>
    </row>
    <row r="12" spans="1:25" s="8" customFormat="1" ht="30" customHeight="1" thickBot="1" x14ac:dyDescent="0.3">
      <c r="A12" s="32" t="s">
        <v>92</v>
      </c>
      <c r="B12" s="32" t="s">
        <v>24</v>
      </c>
      <c r="C12" s="33" t="s">
        <v>93</v>
      </c>
      <c r="D12" s="33" t="s">
        <v>94</v>
      </c>
      <c r="E12" s="524">
        <v>36.060900799999999</v>
      </c>
      <c r="F12" s="525">
        <v>-95.733052799999996</v>
      </c>
      <c r="G12" s="33" t="s">
        <v>68</v>
      </c>
      <c r="H12" s="33" t="s">
        <v>69</v>
      </c>
      <c r="I12" s="23">
        <v>44523</v>
      </c>
      <c r="J12" s="167" t="s">
        <v>46</v>
      </c>
      <c r="K12" s="33" t="s">
        <v>95</v>
      </c>
      <c r="L12" s="32" t="s">
        <v>30</v>
      </c>
      <c r="M12" s="23" t="s">
        <v>24</v>
      </c>
      <c r="N12" s="22">
        <v>44160</v>
      </c>
      <c r="O12" s="22" t="s">
        <v>465</v>
      </c>
      <c r="P12" s="175">
        <v>44120</v>
      </c>
      <c r="Q12" s="155">
        <v>44246</v>
      </c>
      <c r="R12" s="168">
        <f t="shared" si="0"/>
        <v>126</v>
      </c>
      <c r="S12" s="173">
        <v>1375000</v>
      </c>
      <c r="T12" s="170">
        <v>44256</v>
      </c>
      <c r="U12" s="174">
        <f>T12+(V12*4.3*7)</f>
        <v>44557</v>
      </c>
      <c r="V12" s="157">
        <v>10</v>
      </c>
      <c r="W12" s="23"/>
      <c r="X12" s="23"/>
      <c r="Y12" s="172"/>
    </row>
    <row r="13" spans="1:25" s="8" customFormat="1" ht="30" customHeight="1" thickBot="1" x14ac:dyDescent="0.3">
      <c r="A13" s="32" t="s">
        <v>96</v>
      </c>
      <c r="B13" s="32" t="s">
        <v>24</v>
      </c>
      <c r="C13" s="33" t="s">
        <v>97</v>
      </c>
      <c r="D13" s="33" t="s">
        <v>98</v>
      </c>
      <c r="E13" s="524">
        <v>36.060900799999999</v>
      </c>
      <c r="F13" s="525">
        <v>-95.733052799999996</v>
      </c>
      <c r="G13" s="33" t="s">
        <v>68</v>
      </c>
      <c r="H13" s="33" t="s">
        <v>69</v>
      </c>
      <c r="I13" s="23">
        <v>44523</v>
      </c>
      <c r="J13" s="167" t="s">
        <v>46</v>
      </c>
      <c r="K13" s="33" t="s">
        <v>95</v>
      </c>
      <c r="L13" s="32" t="s">
        <v>40</v>
      </c>
      <c r="M13" s="23">
        <v>43731</v>
      </c>
      <c r="N13" s="22">
        <v>44160</v>
      </c>
      <c r="O13" s="22" t="s">
        <v>465</v>
      </c>
      <c r="P13" s="175">
        <v>44168</v>
      </c>
      <c r="Q13" s="155">
        <v>44280</v>
      </c>
      <c r="R13" s="168">
        <f t="shared" si="0"/>
        <v>112</v>
      </c>
      <c r="S13" s="173">
        <v>650000</v>
      </c>
      <c r="T13" s="170">
        <v>44284</v>
      </c>
      <c r="U13" s="174">
        <f>T13+(V13*4.3*7)</f>
        <v>44524.800000000003</v>
      </c>
      <c r="V13" s="157">
        <v>8</v>
      </c>
      <c r="W13" s="23"/>
      <c r="X13" s="23"/>
      <c r="Y13" s="172"/>
    </row>
    <row r="14" spans="1:25" s="8" customFormat="1" ht="30" customHeight="1" thickBot="1" x14ac:dyDescent="0.3">
      <c r="A14" s="32" t="s">
        <v>99</v>
      </c>
      <c r="B14" s="32" t="s">
        <v>24</v>
      </c>
      <c r="C14" s="33" t="s">
        <v>100</v>
      </c>
      <c r="D14" s="33" t="s">
        <v>101</v>
      </c>
      <c r="E14" s="524">
        <v>36.060900799999999</v>
      </c>
      <c r="F14" s="525">
        <v>-95.733052799999996</v>
      </c>
      <c r="G14" s="33" t="s">
        <v>68</v>
      </c>
      <c r="H14" s="33" t="s">
        <v>69</v>
      </c>
      <c r="I14" s="23">
        <v>44523</v>
      </c>
      <c r="J14" s="167" t="s">
        <v>46</v>
      </c>
      <c r="K14" s="33" t="s">
        <v>95</v>
      </c>
      <c r="L14" s="32" t="s">
        <v>30</v>
      </c>
      <c r="M14" s="23" t="s">
        <v>24</v>
      </c>
      <c r="N14" s="22">
        <v>44160</v>
      </c>
      <c r="O14" s="22" t="s">
        <v>465</v>
      </c>
      <c r="P14" s="175">
        <v>44168</v>
      </c>
      <c r="Q14" s="155">
        <v>44280</v>
      </c>
      <c r="R14" s="168">
        <f t="shared" si="0"/>
        <v>112</v>
      </c>
      <c r="S14" s="173">
        <v>400000</v>
      </c>
      <c r="T14" s="170">
        <v>44284</v>
      </c>
      <c r="U14" s="174">
        <f>T14+(V14*4.3*7)</f>
        <v>44524.800000000003</v>
      </c>
      <c r="V14" s="157">
        <v>8</v>
      </c>
      <c r="W14" s="23"/>
      <c r="X14" s="23"/>
      <c r="Y14" s="172"/>
    </row>
    <row r="15" spans="1:25" s="9" customFormat="1" ht="30" customHeight="1" thickBot="1" x14ac:dyDescent="0.3">
      <c r="A15" s="32" t="s">
        <v>107</v>
      </c>
      <c r="B15" s="32" t="s">
        <v>24</v>
      </c>
      <c r="C15" s="33" t="s">
        <v>525</v>
      </c>
      <c r="D15" s="33" t="s">
        <v>109</v>
      </c>
      <c r="E15" s="524">
        <v>36.062384199999997</v>
      </c>
      <c r="F15" s="525">
        <v>-95.742449399999998</v>
      </c>
      <c r="G15" s="33" t="s">
        <v>68</v>
      </c>
      <c r="H15" s="33" t="s">
        <v>69</v>
      </c>
      <c r="I15" s="33"/>
      <c r="J15" s="32" t="s">
        <v>73</v>
      </c>
      <c r="K15" s="33" t="s">
        <v>105</v>
      </c>
      <c r="L15" s="32" t="s">
        <v>30</v>
      </c>
      <c r="M15" s="23" t="s">
        <v>24</v>
      </c>
      <c r="N15" s="170">
        <v>44299</v>
      </c>
      <c r="O15" s="170"/>
      <c r="P15" s="170">
        <v>44357</v>
      </c>
      <c r="Q15" s="170">
        <f>P15+19</f>
        <v>44376</v>
      </c>
      <c r="R15" s="168">
        <f t="shared" si="0"/>
        <v>19</v>
      </c>
      <c r="S15" s="169">
        <v>300000</v>
      </c>
      <c r="T15" s="170">
        <f>Q15+30</f>
        <v>44406</v>
      </c>
      <c r="U15" s="170">
        <f>T15+(V15*7*4.3)</f>
        <v>44526.400000000001</v>
      </c>
      <c r="V15" s="157">
        <v>4</v>
      </c>
      <c r="W15" s="23"/>
      <c r="X15" s="23"/>
      <c r="Y15" s="172"/>
    </row>
    <row r="16" spans="1:25" s="8" customFormat="1" ht="30" customHeight="1" thickBot="1" x14ac:dyDescent="0.3">
      <c r="A16" s="32" t="s">
        <v>121</v>
      </c>
      <c r="B16" s="32" t="s">
        <v>24</v>
      </c>
      <c r="C16" s="33" t="s">
        <v>122</v>
      </c>
      <c r="D16" s="33" t="s">
        <v>123</v>
      </c>
      <c r="E16" s="524">
        <v>35.447751199999999</v>
      </c>
      <c r="F16" s="525">
        <v>-97.725089499999996</v>
      </c>
      <c r="G16" s="33" t="s">
        <v>119</v>
      </c>
      <c r="H16" s="33" t="s">
        <v>44</v>
      </c>
      <c r="I16" s="23">
        <v>44401</v>
      </c>
      <c r="J16" s="167" t="s">
        <v>46</v>
      </c>
      <c r="K16" s="33" t="s">
        <v>120</v>
      </c>
      <c r="L16" s="32" t="s">
        <v>30</v>
      </c>
      <c r="M16" s="23" t="s">
        <v>24</v>
      </c>
      <c r="N16" s="23">
        <v>43971</v>
      </c>
      <c r="O16" s="23" t="s">
        <v>470</v>
      </c>
      <c r="P16" s="155"/>
      <c r="Q16" s="155">
        <v>44062</v>
      </c>
      <c r="R16" s="159"/>
      <c r="S16" s="173">
        <v>165000</v>
      </c>
      <c r="T16" s="155">
        <v>44136</v>
      </c>
      <c r="U16" s="170">
        <v>44286</v>
      </c>
      <c r="V16" s="171">
        <f>(U16-T16)/7/4.3</f>
        <v>4.9833887043189371</v>
      </c>
      <c r="W16" s="23"/>
      <c r="X16" s="23"/>
      <c r="Y16" s="172"/>
    </row>
    <row r="17" spans="1:29" s="8" customFormat="1" ht="30" customHeight="1" thickBot="1" x14ac:dyDescent="0.3">
      <c r="A17" s="32" t="s">
        <v>127</v>
      </c>
      <c r="B17" s="32" t="s">
        <v>24</v>
      </c>
      <c r="C17" s="33" t="s">
        <v>128</v>
      </c>
      <c r="D17" s="33" t="s">
        <v>447</v>
      </c>
      <c r="E17" s="524">
        <v>35.438467799999998</v>
      </c>
      <c r="F17" s="525">
        <v>-97.406290200000001</v>
      </c>
      <c r="G17" s="33" t="s">
        <v>119</v>
      </c>
      <c r="H17" s="33" t="s">
        <v>28</v>
      </c>
      <c r="I17" s="33"/>
      <c r="J17" s="167" t="s">
        <v>46</v>
      </c>
      <c r="K17" s="33" t="s">
        <v>467</v>
      </c>
      <c r="L17" s="32" t="s">
        <v>30</v>
      </c>
      <c r="M17" s="23">
        <v>44245</v>
      </c>
      <c r="N17" s="170" t="s">
        <v>468</v>
      </c>
      <c r="O17" s="170"/>
      <c r="P17" s="155">
        <v>44253</v>
      </c>
      <c r="Q17" s="155">
        <v>44272</v>
      </c>
      <c r="R17" s="168">
        <f>Q17-P17</f>
        <v>19</v>
      </c>
      <c r="S17" s="169">
        <v>355000</v>
      </c>
      <c r="T17" s="23">
        <v>44272</v>
      </c>
      <c r="U17" s="170">
        <v>44406</v>
      </c>
      <c r="V17" s="157">
        <v>3</v>
      </c>
      <c r="W17" s="23"/>
      <c r="X17" s="23"/>
      <c r="Y17" s="172"/>
    </row>
    <row r="18" spans="1:29" s="8" customFormat="1" ht="30" customHeight="1" thickBot="1" x14ac:dyDescent="0.3">
      <c r="A18" s="32" t="s">
        <v>129</v>
      </c>
      <c r="B18" s="32" t="s">
        <v>24</v>
      </c>
      <c r="C18" s="33" t="s">
        <v>130</v>
      </c>
      <c r="D18" s="33" t="s">
        <v>131</v>
      </c>
      <c r="E18" s="524">
        <v>30.684432999999999</v>
      </c>
      <c r="F18" s="525">
        <v>-97.717357500000006</v>
      </c>
      <c r="G18" s="33" t="s">
        <v>119</v>
      </c>
      <c r="H18" s="33" t="s">
        <v>132</v>
      </c>
      <c r="I18" s="23">
        <v>44472</v>
      </c>
      <c r="J18" s="167" t="s">
        <v>46</v>
      </c>
      <c r="K18" s="33" t="s">
        <v>133</v>
      </c>
      <c r="L18" s="32" t="s">
        <v>30</v>
      </c>
      <c r="M18" s="23" t="s">
        <v>24</v>
      </c>
      <c r="N18" s="23">
        <v>43602</v>
      </c>
      <c r="O18" s="23" t="s">
        <v>469</v>
      </c>
      <c r="P18" s="155"/>
      <c r="Q18" s="155">
        <v>44018</v>
      </c>
      <c r="R18" s="159"/>
      <c r="S18" s="173">
        <v>1750000</v>
      </c>
      <c r="T18" s="155">
        <v>44136</v>
      </c>
      <c r="U18" s="170">
        <v>44484</v>
      </c>
      <c r="V18" s="171">
        <f>(U18-T18)/7/4.3</f>
        <v>11.561461794019934</v>
      </c>
      <c r="W18" s="23"/>
      <c r="X18" s="23"/>
      <c r="Y18" s="172"/>
    </row>
    <row r="19" spans="1:29" s="8" customFormat="1" ht="30" customHeight="1" thickBot="1" x14ac:dyDescent="0.3">
      <c r="A19" s="32" t="s">
        <v>134</v>
      </c>
      <c r="B19" s="32" t="s">
        <v>24</v>
      </c>
      <c r="C19" s="33" t="s">
        <v>135</v>
      </c>
      <c r="D19" s="33" t="s">
        <v>136</v>
      </c>
      <c r="E19" s="524">
        <v>32.770240999999999</v>
      </c>
      <c r="F19" s="525">
        <v>-97.065618999999998</v>
      </c>
      <c r="G19" s="33" t="s">
        <v>119</v>
      </c>
      <c r="H19" s="33" t="s">
        <v>137</v>
      </c>
      <c r="I19" s="23"/>
      <c r="J19" s="167" t="s">
        <v>46</v>
      </c>
      <c r="K19" s="33" t="s">
        <v>138</v>
      </c>
      <c r="L19" s="32" t="s">
        <v>30</v>
      </c>
      <c r="M19" s="23" t="s">
        <v>24</v>
      </c>
      <c r="N19" s="23">
        <v>43819</v>
      </c>
      <c r="O19" s="23" t="s">
        <v>469</v>
      </c>
      <c r="P19" s="155">
        <v>44174</v>
      </c>
      <c r="Q19" s="155">
        <v>44223</v>
      </c>
      <c r="R19" s="168">
        <f t="shared" ref="R19:R27" si="1">Q19-P19</f>
        <v>49</v>
      </c>
      <c r="S19" s="173">
        <v>1125000</v>
      </c>
      <c r="T19" s="170">
        <v>44228</v>
      </c>
      <c r="U19" s="170">
        <v>44501</v>
      </c>
      <c r="V19" s="157">
        <v>6.7</v>
      </c>
      <c r="W19" s="23"/>
      <c r="X19" s="23"/>
      <c r="Y19" s="172"/>
    </row>
    <row r="20" spans="1:29" s="8" customFormat="1" ht="30" customHeight="1" thickBot="1" x14ac:dyDescent="0.3">
      <c r="A20" s="32" t="s">
        <v>139</v>
      </c>
      <c r="B20" s="32" t="s">
        <v>24</v>
      </c>
      <c r="C20" s="33" t="s">
        <v>140</v>
      </c>
      <c r="D20" s="33" t="s">
        <v>141</v>
      </c>
      <c r="E20" s="524">
        <v>33.458263299999999</v>
      </c>
      <c r="F20" s="525">
        <v>-94.110699299999993</v>
      </c>
      <c r="G20" s="33" t="s">
        <v>119</v>
      </c>
      <c r="H20" s="33" t="s">
        <v>142</v>
      </c>
      <c r="I20" s="23">
        <v>44586</v>
      </c>
      <c r="J20" s="167" t="s">
        <v>46</v>
      </c>
      <c r="K20" s="33" t="s">
        <v>39</v>
      </c>
      <c r="L20" s="32" t="s">
        <v>40</v>
      </c>
      <c r="M20" s="23">
        <v>44095</v>
      </c>
      <c r="N20" s="23">
        <v>44134</v>
      </c>
      <c r="O20" s="23" t="s">
        <v>472</v>
      </c>
      <c r="P20" s="155">
        <v>44104</v>
      </c>
      <c r="Q20" s="155">
        <v>44194</v>
      </c>
      <c r="R20" s="168">
        <f t="shared" si="1"/>
        <v>90</v>
      </c>
      <c r="S20" s="173">
        <v>1650000</v>
      </c>
      <c r="T20" s="170">
        <f>Q20+30</f>
        <v>44224</v>
      </c>
      <c r="U20" s="170">
        <v>44490</v>
      </c>
      <c r="V20" s="157">
        <v>8</v>
      </c>
      <c r="W20" s="23"/>
      <c r="X20" s="23"/>
      <c r="Y20" s="172"/>
    </row>
    <row r="21" spans="1:29" s="8" customFormat="1" ht="30" customHeight="1" x14ac:dyDescent="0.25">
      <c r="A21" s="12" t="s">
        <v>143</v>
      </c>
      <c r="B21" s="12" t="s">
        <v>144</v>
      </c>
      <c r="C21" s="11" t="s">
        <v>145</v>
      </c>
      <c r="D21" s="11" t="s">
        <v>146</v>
      </c>
      <c r="E21" s="11"/>
      <c r="F21" s="11"/>
      <c r="G21" s="11" t="s">
        <v>119</v>
      </c>
      <c r="H21" s="108" t="s">
        <v>45</v>
      </c>
      <c r="I21" s="13"/>
      <c r="J21" s="12" t="s">
        <v>73</v>
      </c>
      <c r="K21" s="11" t="s">
        <v>45</v>
      </c>
      <c r="L21" s="12" t="s">
        <v>30</v>
      </c>
      <c r="M21" s="13">
        <v>44047</v>
      </c>
      <c r="N21" s="13" t="s">
        <v>45</v>
      </c>
      <c r="O21" s="13"/>
      <c r="P21" s="19">
        <v>44357</v>
      </c>
      <c r="Q21" s="19">
        <v>44470</v>
      </c>
      <c r="R21" s="110">
        <f t="shared" si="1"/>
        <v>113</v>
      </c>
      <c r="S21" s="20">
        <v>600000</v>
      </c>
      <c r="T21" s="19">
        <v>44593</v>
      </c>
      <c r="U21" s="19">
        <f t="shared" ref="U21:U27" si="2">T21+(V21*7*4.3)</f>
        <v>44833.8</v>
      </c>
      <c r="V21" s="26">
        <v>8</v>
      </c>
      <c r="W21" s="13"/>
      <c r="X21" s="13"/>
      <c r="Y21" s="118"/>
    </row>
    <row r="22" spans="1:29" s="8" customFormat="1" ht="30" customHeight="1" x14ac:dyDescent="0.25">
      <c r="A22" s="12" t="s">
        <v>147</v>
      </c>
      <c r="B22" s="12" t="s">
        <v>144</v>
      </c>
      <c r="C22" s="11" t="s">
        <v>148</v>
      </c>
      <c r="D22" s="11" t="s">
        <v>149</v>
      </c>
      <c r="E22" s="11"/>
      <c r="F22" s="11"/>
      <c r="G22" s="11" t="s">
        <v>119</v>
      </c>
      <c r="H22" s="108" t="s">
        <v>45</v>
      </c>
      <c r="I22" s="13"/>
      <c r="J22" s="12" t="s">
        <v>73</v>
      </c>
      <c r="K22" s="11" t="s">
        <v>45</v>
      </c>
      <c r="L22" s="12" t="s">
        <v>30</v>
      </c>
      <c r="M22" s="13">
        <v>44047</v>
      </c>
      <c r="N22" s="19"/>
      <c r="O22" s="19"/>
      <c r="P22" s="19">
        <v>44386</v>
      </c>
      <c r="Q22" s="19">
        <v>44470</v>
      </c>
      <c r="R22" s="110">
        <f t="shared" si="1"/>
        <v>84</v>
      </c>
      <c r="S22" s="20">
        <v>750000</v>
      </c>
      <c r="T22" s="19">
        <v>44593</v>
      </c>
      <c r="U22" s="19">
        <f t="shared" si="2"/>
        <v>44833.8</v>
      </c>
      <c r="V22" s="26">
        <v>8</v>
      </c>
      <c r="W22" s="13"/>
      <c r="X22" s="13"/>
      <c r="Y22" s="118"/>
    </row>
    <row r="23" spans="1:29" s="8" customFormat="1" ht="30" customHeight="1" x14ac:dyDescent="0.25">
      <c r="A23" s="12" t="s">
        <v>150</v>
      </c>
      <c r="B23" s="12" t="s">
        <v>24</v>
      </c>
      <c r="C23" s="11" t="s">
        <v>151</v>
      </c>
      <c r="D23" s="11" t="s">
        <v>152</v>
      </c>
      <c r="E23" s="11"/>
      <c r="F23" s="11"/>
      <c r="G23" s="11" t="s">
        <v>517</v>
      </c>
      <c r="H23" s="108" t="s">
        <v>45</v>
      </c>
      <c r="I23" s="13"/>
      <c r="J23" s="12" t="s">
        <v>73</v>
      </c>
      <c r="K23" s="11" t="s">
        <v>45</v>
      </c>
      <c r="L23" s="12" t="s">
        <v>30</v>
      </c>
      <c r="M23" s="13"/>
      <c r="N23" s="19">
        <v>44298</v>
      </c>
      <c r="O23" s="19" t="s">
        <v>469</v>
      </c>
      <c r="P23" s="19">
        <v>44362</v>
      </c>
      <c r="Q23" s="19">
        <f>P23+45</f>
        <v>44407</v>
      </c>
      <c r="R23" s="110">
        <f t="shared" si="1"/>
        <v>45</v>
      </c>
      <c r="S23" s="20">
        <v>1736318</v>
      </c>
      <c r="T23" s="19">
        <v>44417</v>
      </c>
      <c r="U23" s="19">
        <f t="shared" si="2"/>
        <v>44657.8</v>
      </c>
      <c r="V23" s="26">
        <v>8</v>
      </c>
      <c r="W23" s="13"/>
      <c r="X23" s="13"/>
      <c r="Y23" s="118"/>
      <c r="Z23" s="236" t="s">
        <v>520</v>
      </c>
      <c r="AA23" s="236"/>
      <c r="AB23" s="236"/>
      <c r="AC23" s="236"/>
    </row>
    <row r="24" spans="1:29" s="8" customFormat="1" ht="30" customHeight="1" x14ac:dyDescent="0.25">
      <c r="A24" s="12" t="s">
        <v>153</v>
      </c>
      <c r="B24" s="12" t="s">
        <v>24</v>
      </c>
      <c r="C24" s="11" t="s">
        <v>611</v>
      </c>
      <c r="D24" s="11" t="s">
        <v>154</v>
      </c>
      <c r="E24" s="11"/>
      <c r="F24" s="11"/>
      <c r="G24" s="11" t="s">
        <v>119</v>
      </c>
      <c r="H24" s="108" t="s">
        <v>45</v>
      </c>
      <c r="I24" s="13"/>
      <c r="J24" s="12" t="s">
        <v>73</v>
      </c>
      <c r="K24" s="11" t="s">
        <v>45</v>
      </c>
      <c r="L24" s="12" t="s">
        <v>30</v>
      </c>
      <c r="M24" s="13">
        <v>44078</v>
      </c>
      <c r="N24" s="19">
        <v>44298</v>
      </c>
      <c r="O24" s="19" t="s">
        <v>469</v>
      </c>
      <c r="P24" s="19">
        <v>44362</v>
      </c>
      <c r="Q24" s="19">
        <f>P24+55</f>
        <v>44417</v>
      </c>
      <c r="R24" s="110">
        <f t="shared" si="1"/>
        <v>55</v>
      </c>
      <c r="S24" s="20">
        <v>376000</v>
      </c>
      <c r="T24" s="19">
        <v>44417</v>
      </c>
      <c r="U24" s="19">
        <f t="shared" si="2"/>
        <v>44657.8</v>
      </c>
      <c r="V24" s="26">
        <v>8</v>
      </c>
      <c r="W24" s="13"/>
      <c r="X24" s="13"/>
      <c r="Y24" s="118"/>
    </row>
    <row r="25" spans="1:29" s="8" customFormat="1" ht="30" customHeight="1" x14ac:dyDescent="0.25">
      <c r="A25" s="12" t="s">
        <v>155</v>
      </c>
      <c r="B25" s="12" t="s">
        <v>24</v>
      </c>
      <c r="C25" s="11" t="s">
        <v>426</v>
      </c>
      <c r="D25" s="11" t="s">
        <v>154</v>
      </c>
      <c r="E25" s="11"/>
      <c r="F25" s="11"/>
      <c r="G25" s="11" t="s">
        <v>119</v>
      </c>
      <c r="H25" s="108" t="s">
        <v>45</v>
      </c>
      <c r="I25" s="13"/>
      <c r="J25" s="12" t="s">
        <v>73</v>
      </c>
      <c r="K25" s="11" t="s">
        <v>45</v>
      </c>
      <c r="L25" s="12" t="s">
        <v>30</v>
      </c>
      <c r="M25" s="13">
        <v>44078</v>
      </c>
      <c r="N25" s="19">
        <v>44298</v>
      </c>
      <c r="O25" s="19" t="s">
        <v>469</v>
      </c>
      <c r="P25" s="19">
        <v>44386</v>
      </c>
      <c r="Q25" s="19">
        <f>P25+45</f>
        <v>44431</v>
      </c>
      <c r="R25" s="110">
        <f t="shared" si="1"/>
        <v>45</v>
      </c>
      <c r="S25" s="20">
        <v>376000</v>
      </c>
      <c r="T25" s="19">
        <v>44417</v>
      </c>
      <c r="U25" s="19">
        <f t="shared" si="2"/>
        <v>44657.8</v>
      </c>
      <c r="V25" s="26">
        <v>8</v>
      </c>
      <c r="W25" s="13"/>
      <c r="X25" s="13"/>
      <c r="Y25" s="118"/>
    </row>
    <row r="26" spans="1:29" s="8" customFormat="1" ht="30" customHeight="1" x14ac:dyDescent="0.25">
      <c r="A26" s="12" t="s">
        <v>156</v>
      </c>
      <c r="B26" s="12" t="s">
        <v>24</v>
      </c>
      <c r="C26" s="11" t="s">
        <v>157</v>
      </c>
      <c r="D26" s="11" t="s">
        <v>158</v>
      </c>
      <c r="E26" s="11"/>
      <c r="F26" s="11"/>
      <c r="G26" s="11" t="s">
        <v>119</v>
      </c>
      <c r="H26" s="108" t="s">
        <v>45</v>
      </c>
      <c r="I26" s="13"/>
      <c r="J26" s="12" t="s">
        <v>73</v>
      </c>
      <c r="K26" s="11" t="s">
        <v>45</v>
      </c>
      <c r="L26" s="12" t="s">
        <v>30</v>
      </c>
      <c r="M26" s="13"/>
      <c r="N26" s="19"/>
      <c r="O26" s="19"/>
      <c r="P26" s="19">
        <v>44362</v>
      </c>
      <c r="Q26" s="19">
        <v>44423</v>
      </c>
      <c r="R26" s="110">
        <f t="shared" si="1"/>
        <v>61</v>
      </c>
      <c r="S26" s="20">
        <v>1700000</v>
      </c>
      <c r="T26" s="19">
        <f>Q26+30</f>
        <v>44453</v>
      </c>
      <c r="U26" s="19">
        <f t="shared" si="2"/>
        <v>44754</v>
      </c>
      <c r="V26" s="26">
        <v>10</v>
      </c>
      <c r="W26" s="13"/>
      <c r="X26" s="13"/>
      <c r="Y26" s="118"/>
    </row>
    <row r="27" spans="1:29" s="8" customFormat="1" ht="30" customHeight="1" x14ac:dyDescent="0.25">
      <c r="A27" s="12" t="s">
        <v>159</v>
      </c>
      <c r="B27" s="12" t="s">
        <v>24</v>
      </c>
      <c r="C27" s="11" t="s">
        <v>160</v>
      </c>
      <c r="D27" s="11" t="s">
        <v>158</v>
      </c>
      <c r="E27" s="11"/>
      <c r="F27" s="11"/>
      <c r="G27" s="11" t="s">
        <v>119</v>
      </c>
      <c r="H27" s="108" t="s">
        <v>45</v>
      </c>
      <c r="I27" s="13"/>
      <c r="J27" s="12" t="s">
        <v>73</v>
      </c>
      <c r="K27" s="11" t="s">
        <v>45</v>
      </c>
      <c r="L27" s="12" t="s">
        <v>30</v>
      </c>
      <c r="M27" s="13"/>
      <c r="N27" s="19"/>
      <c r="O27" s="19"/>
      <c r="P27" s="19">
        <v>44386</v>
      </c>
      <c r="Q27" s="19">
        <f>P27+45</f>
        <v>44431</v>
      </c>
      <c r="R27" s="110">
        <f t="shared" si="1"/>
        <v>45</v>
      </c>
      <c r="S27" s="20">
        <v>225</v>
      </c>
      <c r="T27" s="19">
        <f>Q27+30</f>
        <v>44461</v>
      </c>
      <c r="U27" s="19">
        <f t="shared" si="2"/>
        <v>44701.8</v>
      </c>
      <c r="V27" s="26">
        <v>8</v>
      </c>
      <c r="W27" s="13"/>
      <c r="X27" s="13"/>
      <c r="Y27" s="118"/>
    </row>
    <row r="28" spans="1:29" s="8" customFormat="1" ht="30" customHeight="1" x14ac:dyDescent="0.25">
      <c r="A28" s="12" t="s">
        <v>161</v>
      </c>
      <c r="B28" s="12" t="s">
        <v>162</v>
      </c>
      <c r="C28" s="11" t="s">
        <v>163</v>
      </c>
      <c r="D28" s="11" t="s">
        <v>164</v>
      </c>
      <c r="E28" s="11"/>
      <c r="F28" s="11"/>
      <c r="G28" s="108" t="s">
        <v>45</v>
      </c>
      <c r="H28" s="108" t="s">
        <v>45</v>
      </c>
      <c r="I28" s="11"/>
      <c r="J28" s="12" t="s">
        <v>73</v>
      </c>
      <c r="K28" s="11" t="s">
        <v>45</v>
      </c>
      <c r="L28" s="12" t="s">
        <v>45</v>
      </c>
      <c r="M28" s="13" t="s">
        <v>24</v>
      </c>
      <c r="N28" s="13" t="s">
        <v>81</v>
      </c>
      <c r="O28" s="13"/>
      <c r="P28" s="27" t="s">
        <v>165</v>
      </c>
      <c r="Q28" s="27" t="s">
        <v>165</v>
      </c>
      <c r="R28" s="27" t="s">
        <v>165</v>
      </c>
      <c r="S28" s="267">
        <v>2500000</v>
      </c>
      <c r="T28" s="27" t="s">
        <v>165</v>
      </c>
      <c r="U28" s="27" t="s">
        <v>165</v>
      </c>
      <c r="V28" s="268">
        <v>12</v>
      </c>
      <c r="W28" s="27"/>
      <c r="X28" s="27"/>
      <c r="Y28" s="119"/>
    </row>
    <row r="29" spans="1:29" s="8" customFormat="1" ht="30" customHeight="1" x14ac:dyDescent="0.25">
      <c r="A29" s="32" t="s">
        <v>180</v>
      </c>
      <c r="B29" s="32" t="s">
        <v>181</v>
      </c>
      <c r="C29" s="33" t="s">
        <v>182</v>
      </c>
      <c r="D29" s="33" t="s">
        <v>183</v>
      </c>
      <c r="E29" s="33"/>
      <c r="F29" s="33"/>
      <c r="G29" s="156" t="s">
        <v>45</v>
      </c>
      <c r="H29" s="156" t="s">
        <v>45</v>
      </c>
      <c r="I29" s="33"/>
      <c r="J29" s="32" t="s">
        <v>73</v>
      </c>
      <c r="K29" s="33" t="s">
        <v>184</v>
      </c>
      <c r="L29" s="32" t="s">
        <v>30</v>
      </c>
      <c r="M29" s="23" t="s">
        <v>24</v>
      </c>
      <c r="N29" s="170">
        <v>44263</v>
      </c>
      <c r="O29" s="170"/>
      <c r="P29" s="170">
        <v>44307</v>
      </c>
      <c r="Q29" s="170" t="s">
        <v>526</v>
      </c>
      <c r="R29" s="168" t="e">
        <f t="shared" ref="R29:R40" si="3">Q29-P29</f>
        <v>#VALUE!</v>
      </c>
      <c r="S29" s="169">
        <v>400000</v>
      </c>
      <c r="T29" s="170" t="e">
        <f>Q29+30</f>
        <v>#VALUE!</v>
      </c>
      <c r="U29" s="170" t="e">
        <f>T29+(V29*7*4.3)</f>
        <v>#VALUE!</v>
      </c>
      <c r="V29" s="157">
        <v>2</v>
      </c>
      <c r="W29" s="23"/>
      <c r="X29" s="23"/>
      <c r="Y29" s="172"/>
    </row>
    <row r="30" spans="1:29" s="8" customFormat="1" ht="30" customHeight="1" x14ac:dyDescent="0.25">
      <c r="A30" s="32" t="s">
        <v>185</v>
      </c>
      <c r="B30" s="32" t="s">
        <v>181</v>
      </c>
      <c r="C30" s="33" t="s">
        <v>186</v>
      </c>
      <c r="D30" s="33" t="s">
        <v>183</v>
      </c>
      <c r="E30" s="33"/>
      <c r="F30" s="33"/>
      <c r="G30" s="156" t="s">
        <v>45</v>
      </c>
      <c r="H30" s="156" t="s">
        <v>45</v>
      </c>
      <c r="I30" s="33"/>
      <c r="J30" s="32" t="s">
        <v>73</v>
      </c>
      <c r="K30" s="33" t="s">
        <v>45</v>
      </c>
      <c r="L30" s="32" t="s">
        <v>30</v>
      </c>
      <c r="M30" s="23">
        <v>43965</v>
      </c>
      <c r="N30" s="170">
        <v>44263</v>
      </c>
      <c r="O30" s="170"/>
      <c r="P30" s="170">
        <v>44328</v>
      </c>
      <c r="Q30" s="170" t="s">
        <v>526</v>
      </c>
      <c r="R30" s="168" t="e">
        <f t="shared" si="3"/>
        <v>#VALUE!</v>
      </c>
      <c r="S30" s="169">
        <v>1750000</v>
      </c>
      <c r="T30" s="170" t="e">
        <f>Q30+30</f>
        <v>#VALUE!</v>
      </c>
      <c r="U30" s="170" t="e">
        <f>T30+(V30*7*4.3)</f>
        <v>#VALUE!</v>
      </c>
      <c r="V30" s="157">
        <v>10</v>
      </c>
      <c r="W30" s="23"/>
      <c r="X30" s="23"/>
      <c r="Y30" s="172"/>
    </row>
    <row r="31" spans="1:29" s="8" customFormat="1" ht="30" customHeight="1" x14ac:dyDescent="0.25">
      <c r="A31" s="12" t="s">
        <v>191</v>
      </c>
      <c r="B31" s="12" t="s">
        <v>24</v>
      </c>
      <c r="C31" s="11" t="s">
        <v>192</v>
      </c>
      <c r="D31" s="11" t="s">
        <v>193</v>
      </c>
      <c r="E31" s="11"/>
      <c r="F31" s="11"/>
      <c r="G31" s="108" t="s">
        <v>45</v>
      </c>
      <c r="H31" s="108" t="s">
        <v>45</v>
      </c>
      <c r="I31" s="11"/>
      <c r="J31" s="12" t="s">
        <v>73</v>
      </c>
      <c r="K31" s="11" t="s">
        <v>45</v>
      </c>
      <c r="L31" s="12" t="s">
        <v>30</v>
      </c>
      <c r="M31" s="13">
        <v>44078</v>
      </c>
      <c r="N31" s="19" t="s">
        <v>190</v>
      </c>
      <c r="O31" s="19"/>
      <c r="P31" s="19">
        <v>44403</v>
      </c>
      <c r="Q31" s="19">
        <f>P31+33</f>
        <v>44436</v>
      </c>
      <c r="R31" s="110">
        <f t="shared" si="3"/>
        <v>33</v>
      </c>
      <c r="S31" s="20">
        <v>4000000</v>
      </c>
      <c r="T31" s="19">
        <v>44470</v>
      </c>
      <c r="U31" s="19">
        <f>T31+(V31*7*4.3)</f>
        <v>44831.199999999997</v>
      </c>
      <c r="V31" s="26">
        <v>12</v>
      </c>
      <c r="W31" s="13"/>
      <c r="X31" s="13"/>
      <c r="Y31" s="118"/>
    </row>
    <row r="32" spans="1:29" s="8" customFormat="1" ht="30" customHeight="1" x14ac:dyDescent="0.25">
      <c r="A32" s="12" t="s">
        <v>194</v>
      </c>
      <c r="B32" s="12" t="s">
        <v>24</v>
      </c>
      <c r="C32" s="11" t="s">
        <v>195</v>
      </c>
      <c r="D32" s="11" t="s">
        <v>196</v>
      </c>
      <c r="E32" s="11"/>
      <c r="F32" s="11"/>
      <c r="G32" s="108" t="s">
        <v>45</v>
      </c>
      <c r="H32" s="108" t="s">
        <v>45</v>
      </c>
      <c r="I32" s="11"/>
      <c r="J32" s="12" t="s">
        <v>73</v>
      </c>
      <c r="K32" s="11"/>
      <c r="L32" s="12" t="s">
        <v>30</v>
      </c>
      <c r="M32" s="13"/>
      <c r="N32" s="19" t="s">
        <v>190</v>
      </c>
      <c r="O32" s="19"/>
      <c r="P32" s="19">
        <v>44423</v>
      </c>
      <c r="Q32" s="19">
        <v>44486</v>
      </c>
      <c r="R32" s="110">
        <f t="shared" si="3"/>
        <v>63</v>
      </c>
      <c r="S32" s="20">
        <v>3000000</v>
      </c>
      <c r="T32" s="13">
        <f>Q32+30</f>
        <v>44516</v>
      </c>
      <c r="U32" s="19">
        <f>T32+(V32*7*4.3)</f>
        <v>44817</v>
      </c>
      <c r="V32" s="26">
        <v>10</v>
      </c>
      <c r="W32" s="13"/>
      <c r="X32" s="13"/>
      <c r="Y32" s="118"/>
    </row>
    <row r="33" spans="1:27" s="8" customFormat="1" ht="30" customHeight="1" x14ac:dyDescent="0.25">
      <c r="A33" s="12" t="s">
        <v>203</v>
      </c>
      <c r="B33" s="12" t="s">
        <v>24</v>
      </c>
      <c r="C33" s="11" t="s">
        <v>204</v>
      </c>
      <c r="D33" s="11" t="s">
        <v>205</v>
      </c>
      <c r="E33" s="11"/>
      <c r="F33" s="11"/>
      <c r="G33" s="108" t="s">
        <v>45</v>
      </c>
      <c r="H33" s="108" t="s">
        <v>45</v>
      </c>
      <c r="I33" s="11"/>
      <c r="J33" s="12" t="s">
        <v>73</v>
      </c>
      <c r="K33" s="11"/>
      <c r="L33" s="12" t="s">
        <v>30</v>
      </c>
      <c r="M33" s="13"/>
      <c r="N33" s="19"/>
      <c r="O33" s="19"/>
      <c r="P33" s="19">
        <v>44368</v>
      </c>
      <c r="Q33" s="19">
        <f>P33+52</f>
        <v>44420</v>
      </c>
      <c r="R33" s="110">
        <f t="shared" si="3"/>
        <v>52</v>
      </c>
      <c r="S33" s="20">
        <v>10000000</v>
      </c>
      <c r="T33" s="13"/>
      <c r="U33" s="19"/>
      <c r="V33" s="26"/>
      <c r="W33" s="13"/>
      <c r="X33" s="13"/>
      <c r="Y33" s="118"/>
    </row>
    <row r="34" spans="1:27" s="8" customFormat="1" ht="30" customHeight="1" x14ac:dyDescent="0.25">
      <c r="A34" s="12" t="s">
        <v>206</v>
      </c>
      <c r="B34" s="12" t="s">
        <v>24</v>
      </c>
      <c r="C34" s="11" t="s">
        <v>207</v>
      </c>
      <c r="D34" s="11"/>
      <c r="E34" s="11"/>
      <c r="F34" s="11"/>
      <c r="G34" s="19">
        <v>44358</v>
      </c>
      <c r="H34" s="19">
        <f>G34+54</f>
        <v>44412</v>
      </c>
      <c r="I34" s="11"/>
      <c r="J34" s="12" t="s">
        <v>73</v>
      </c>
      <c r="K34" s="11"/>
      <c r="L34" s="12" t="s">
        <v>30</v>
      </c>
      <c r="M34" s="13"/>
      <c r="N34" s="19"/>
      <c r="O34" s="19"/>
      <c r="P34" s="19">
        <v>44358</v>
      </c>
      <c r="Q34" s="19">
        <f>P34+54</f>
        <v>44412</v>
      </c>
      <c r="R34" s="110">
        <f t="shared" si="3"/>
        <v>54</v>
      </c>
      <c r="S34" s="20">
        <v>5000000</v>
      </c>
      <c r="T34" s="19"/>
      <c r="U34" s="13"/>
      <c r="V34" s="26"/>
      <c r="W34" s="13"/>
      <c r="X34" s="13"/>
      <c r="Y34" s="118"/>
      <c r="Z34" s="9"/>
      <c r="AA34" s="9"/>
    </row>
    <row r="35" spans="1:27" s="8" customFormat="1" ht="30" customHeight="1" x14ac:dyDescent="0.25">
      <c r="A35" s="12" t="s">
        <v>208</v>
      </c>
      <c r="B35" s="12" t="s">
        <v>24</v>
      </c>
      <c r="C35" s="11" t="s">
        <v>480</v>
      </c>
      <c r="D35" s="11"/>
      <c r="E35" s="11"/>
      <c r="F35" s="11"/>
      <c r="G35" s="108" t="s">
        <v>45</v>
      </c>
      <c r="H35" s="108" t="s">
        <v>45</v>
      </c>
      <c r="I35" s="11"/>
      <c r="J35" s="12" t="s">
        <v>73</v>
      </c>
      <c r="K35" s="11"/>
      <c r="L35" s="12" t="s">
        <v>30</v>
      </c>
      <c r="M35" s="13"/>
      <c r="N35" s="19"/>
      <c r="O35" s="19"/>
      <c r="P35" s="19">
        <v>44375</v>
      </c>
      <c r="Q35" s="19">
        <v>44456</v>
      </c>
      <c r="R35" s="110">
        <f t="shared" si="3"/>
        <v>81</v>
      </c>
      <c r="S35" s="20">
        <v>1750000</v>
      </c>
      <c r="T35" s="13"/>
      <c r="U35" s="13"/>
      <c r="V35" s="26"/>
      <c r="W35" s="13"/>
      <c r="X35" s="13"/>
      <c r="Y35" s="118"/>
    </row>
    <row r="36" spans="1:27" s="8" customFormat="1" ht="30" customHeight="1" x14ac:dyDescent="0.25">
      <c r="A36" s="12" t="s">
        <v>210</v>
      </c>
      <c r="B36" s="12" t="s">
        <v>24</v>
      </c>
      <c r="C36" s="11" t="s">
        <v>211</v>
      </c>
      <c r="D36" s="11"/>
      <c r="E36" s="11"/>
      <c r="F36" s="11"/>
      <c r="G36" s="108" t="s">
        <v>45</v>
      </c>
      <c r="H36" s="108" t="s">
        <v>45</v>
      </c>
      <c r="I36" s="11"/>
      <c r="J36" s="12" t="s">
        <v>73</v>
      </c>
      <c r="K36" s="11"/>
      <c r="L36" s="12" t="s">
        <v>30</v>
      </c>
      <c r="M36" s="13"/>
      <c r="N36" s="19"/>
      <c r="O36" s="19"/>
      <c r="P36" s="19"/>
      <c r="Q36" s="19"/>
      <c r="R36" s="110">
        <f t="shared" si="3"/>
        <v>0</v>
      </c>
      <c r="S36" s="20" t="s">
        <v>165</v>
      </c>
      <c r="T36" s="13"/>
      <c r="U36" s="19"/>
      <c r="V36" s="26"/>
      <c r="W36" s="13"/>
      <c r="X36" s="13"/>
      <c r="Y36" s="118"/>
    </row>
    <row r="37" spans="1:27" s="8" customFormat="1" ht="30" customHeight="1" x14ac:dyDescent="0.25">
      <c r="A37" s="12" t="s">
        <v>210</v>
      </c>
      <c r="B37" s="12" t="s">
        <v>24</v>
      </c>
      <c r="C37" s="11" t="s">
        <v>218</v>
      </c>
      <c r="D37" s="11"/>
      <c r="E37" s="11"/>
      <c r="F37" s="11"/>
      <c r="G37" s="108" t="s">
        <v>45</v>
      </c>
      <c r="H37" s="108" t="s">
        <v>45</v>
      </c>
      <c r="I37" s="11"/>
      <c r="J37" s="12" t="s">
        <v>73</v>
      </c>
      <c r="K37" s="11"/>
      <c r="L37" s="12"/>
      <c r="M37" s="13">
        <v>44239</v>
      </c>
      <c r="N37" s="19"/>
      <c r="O37" s="19"/>
      <c r="P37" s="19"/>
      <c r="Q37" s="19"/>
      <c r="R37" s="110">
        <f t="shared" si="3"/>
        <v>0</v>
      </c>
      <c r="S37" s="20"/>
      <c r="T37" s="13"/>
      <c r="U37" s="19"/>
      <c r="V37" s="26"/>
      <c r="W37" s="13"/>
      <c r="X37" s="13"/>
      <c r="Y37" s="118"/>
    </row>
    <row r="38" spans="1:27" s="8" customFormat="1" ht="30" customHeight="1" x14ac:dyDescent="0.25">
      <c r="A38" s="12" t="s">
        <v>224</v>
      </c>
      <c r="B38" s="12" t="s">
        <v>24</v>
      </c>
      <c r="C38" s="11" t="s">
        <v>225</v>
      </c>
      <c r="D38" s="11"/>
      <c r="E38" s="11"/>
      <c r="F38" s="11"/>
      <c r="G38" s="108" t="s">
        <v>45</v>
      </c>
      <c r="H38" s="108" t="s">
        <v>45</v>
      </c>
      <c r="I38" s="11"/>
      <c r="J38" s="12" t="s">
        <v>73</v>
      </c>
      <c r="K38" s="11" t="s">
        <v>474</v>
      </c>
      <c r="L38" s="12" t="s">
        <v>30</v>
      </c>
      <c r="M38" s="13"/>
      <c r="N38" s="19"/>
      <c r="O38" s="19"/>
      <c r="P38" s="19">
        <v>44365</v>
      </c>
      <c r="Q38" s="19">
        <f>P38+52</f>
        <v>44417</v>
      </c>
      <c r="R38" s="110">
        <f t="shared" si="3"/>
        <v>52</v>
      </c>
      <c r="S38" s="20">
        <v>1000000</v>
      </c>
      <c r="T38" s="13">
        <f>Q38+30</f>
        <v>44447</v>
      </c>
      <c r="U38" s="19">
        <f>T38+(V38*7*4.3)</f>
        <v>44687.8</v>
      </c>
      <c r="V38" s="26">
        <v>8</v>
      </c>
      <c r="W38" s="13"/>
      <c r="X38" s="13"/>
      <c r="Y38" s="118"/>
    </row>
    <row r="39" spans="1:27" s="8" customFormat="1" ht="30" customHeight="1" x14ac:dyDescent="0.25">
      <c r="A39" s="12" t="s">
        <v>226</v>
      </c>
      <c r="B39" s="12" t="s">
        <v>24</v>
      </c>
      <c r="C39" s="11" t="s">
        <v>227</v>
      </c>
      <c r="D39" s="11"/>
      <c r="E39" s="11"/>
      <c r="F39" s="11"/>
      <c r="G39" s="108" t="s">
        <v>119</v>
      </c>
      <c r="H39" s="108" t="s">
        <v>45</v>
      </c>
      <c r="I39" s="11"/>
      <c r="J39" s="12" t="s">
        <v>73</v>
      </c>
      <c r="K39" s="11"/>
      <c r="L39" s="12"/>
      <c r="M39" s="13"/>
      <c r="N39" s="19"/>
      <c r="O39" s="19"/>
      <c r="P39" s="19">
        <v>44295</v>
      </c>
      <c r="Q39" s="19">
        <v>44357</v>
      </c>
      <c r="R39" s="110">
        <f t="shared" si="3"/>
        <v>62</v>
      </c>
      <c r="S39" s="20">
        <v>2250000</v>
      </c>
      <c r="T39" s="13">
        <f>Q39+30</f>
        <v>44387</v>
      </c>
      <c r="U39" s="19">
        <f>T39+(V39*7*4.3)</f>
        <v>44518.235999999997</v>
      </c>
      <c r="V39" s="26">
        <v>4.3600000000000003</v>
      </c>
      <c r="W39" s="13"/>
      <c r="X39" s="13"/>
      <c r="Y39" s="118"/>
    </row>
    <row r="40" spans="1:27" s="8" customFormat="1" ht="30" customHeight="1" x14ac:dyDescent="0.25">
      <c r="A40" s="12" t="s">
        <v>228</v>
      </c>
      <c r="B40" s="12" t="s">
        <v>24</v>
      </c>
      <c r="C40" s="11" t="s">
        <v>229</v>
      </c>
      <c r="D40" s="11" t="s">
        <v>230</v>
      </c>
      <c r="E40" s="11"/>
      <c r="F40" s="11"/>
      <c r="G40" s="108" t="s">
        <v>45</v>
      </c>
      <c r="H40" s="108" t="s">
        <v>142</v>
      </c>
      <c r="I40" s="11"/>
      <c r="J40" s="12" t="s">
        <v>73</v>
      </c>
      <c r="K40" s="11"/>
      <c r="L40" s="12" t="s">
        <v>30</v>
      </c>
      <c r="M40" s="13"/>
      <c r="N40" s="19"/>
      <c r="O40" s="19"/>
      <c r="P40" s="13">
        <v>44383</v>
      </c>
      <c r="Q40" s="13">
        <v>44466</v>
      </c>
      <c r="R40" s="110">
        <f t="shared" si="3"/>
        <v>83</v>
      </c>
      <c r="S40" s="20">
        <v>1750000</v>
      </c>
      <c r="T40" s="13"/>
      <c r="U40" s="13"/>
      <c r="V40" s="26"/>
      <c r="W40" s="13"/>
      <c r="X40" s="13"/>
      <c r="Y40" s="118"/>
    </row>
    <row r="41" spans="1:27" s="8" customFormat="1" ht="30" customHeight="1" x14ac:dyDescent="0.25">
      <c r="A41" s="12" t="s">
        <v>210</v>
      </c>
      <c r="B41" s="203"/>
      <c r="C41" s="11" t="s">
        <v>478</v>
      </c>
      <c r="D41" s="11" t="s">
        <v>479</v>
      </c>
      <c r="E41" s="11"/>
      <c r="F41" s="11"/>
      <c r="G41" s="11" t="s">
        <v>45</v>
      </c>
      <c r="H41" s="11" t="s">
        <v>45</v>
      </c>
      <c r="I41" s="13"/>
      <c r="J41" s="12" t="s">
        <v>73</v>
      </c>
      <c r="K41" s="11"/>
      <c r="L41" s="12"/>
      <c r="M41" s="13"/>
      <c r="N41" s="13"/>
      <c r="O41" s="13"/>
      <c r="P41" s="13"/>
      <c r="Q41" s="13"/>
      <c r="R41" s="204"/>
      <c r="S41" s="205">
        <v>8000000</v>
      </c>
      <c r="T41" s="13"/>
      <c r="U41" s="13"/>
      <c r="V41" s="26"/>
      <c r="W41" s="13"/>
      <c r="X41" s="13"/>
      <c r="Y41" s="118"/>
    </row>
    <row r="42" spans="1:27" s="8" customFormat="1" ht="30" customHeight="1" x14ac:dyDescent="0.25">
      <c r="A42" s="12" t="s">
        <v>485</v>
      </c>
      <c r="B42" s="203"/>
      <c r="C42" s="11" t="s">
        <v>481</v>
      </c>
      <c r="D42" s="11"/>
      <c r="E42" s="11"/>
      <c r="F42" s="11"/>
      <c r="G42" s="11" t="s">
        <v>45</v>
      </c>
      <c r="H42" s="11" t="s">
        <v>45</v>
      </c>
      <c r="I42" s="13"/>
      <c r="J42" s="12" t="s">
        <v>73</v>
      </c>
      <c r="K42" s="11"/>
      <c r="L42" s="12"/>
      <c r="M42" s="13"/>
      <c r="N42" s="13"/>
      <c r="O42" s="13"/>
      <c r="P42" s="13">
        <v>44391</v>
      </c>
      <c r="Q42" s="19">
        <f>P42+50</f>
        <v>44441</v>
      </c>
      <c r="R42" s="204"/>
      <c r="S42" s="205">
        <v>1750000</v>
      </c>
      <c r="T42" s="13">
        <v>44454</v>
      </c>
      <c r="U42" s="13"/>
      <c r="V42" s="26"/>
      <c r="W42" s="13"/>
      <c r="X42" s="13"/>
      <c r="Y42" s="118"/>
    </row>
    <row r="43" spans="1:27" s="8" customFormat="1" ht="30" customHeight="1" x14ac:dyDescent="0.25">
      <c r="A43" s="12" t="s">
        <v>486</v>
      </c>
      <c r="B43" s="203"/>
      <c r="C43" s="11" t="s">
        <v>487</v>
      </c>
      <c r="D43" s="11"/>
      <c r="E43" s="11"/>
      <c r="F43" s="11"/>
      <c r="G43" s="11" t="s">
        <v>45</v>
      </c>
      <c r="H43" s="11" t="s">
        <v>45</v>
      </c>
      <c r="I43" s="13"/>
      <c r="J43" s="12" t="s">
        <v>73</v>
      </c>
      <c r="K43" s="11"/>
      <c r="L43" s="12"/>
      <c r="M43" s="13"/>
      <c r="N43" s="13"/>
      <c r="O43" s="13"/>
      <c r="P43" s="13">
        <v>44391</v>
      </c>
      <c r="Q43" s="19">
        <f>P43+50</f>
        <v>44441</v>
      </c>
      <c r="R43" s="204"/>
      <c r="S43" s="205">
        <v>290000</v>
      </c>
      <c r="T43" s="13">
        <v>44454</v>
      </c>
      <c r="U43" s="13"/>
      <c r="V43" s="26"/>
      <c r="W43" s="13"/>
      <c r="X43" s="13"/>
      <c r="Y43" s="118"/>
    </row>
    <row r="44" spans="1:27" s="8" customFormat="1" ht="30" customHeight="1" x14ac:dyDescent="0.25">
      <c r="A44" s="12" t="s">
        <v>488</v>
      </c>
      <c r="B44" s="203" t="s">
        <v>167</v>
      </c>
      <c r="C44" s="11" t="s">
        <v>489</v>
      </c>
      <c r="D44" s="11" t="s">
        <v>483</v>
      </c>
      <c r="E44" s="11"/>
      <c r="F44" s="11"/>
      <c r="G44" s="11" t="s">
        <v>45</v>
      </c>
      <c r="H44" s="11" t="s">
        <v>45</v>
      </c>
      <c r="I44" s="13"/>
      <c r="J44" s="12" t="s">
        <v>73</v>
      </c>
      <c r="K44" s="11"/>
      <c r="L44" s="12"/>
      <c r="M44" s="13"/>
      <c r="N44" s="13"/>
      <c r="O44" s="13"/>
      <c r="P44" s="13">
        <v>44404</v>
      </c>
      <c r="Q44" s="19">
        <f>P44+52</f>
        <v>44456</v>
      </c>
      <c r="R44" s="204"/>
      <c r="S44" s="205">
        <v>1750000</v>
      </c>
      <c r="T44" s="13"/>
      <c r="U44" s="13"/>
      <c r="V44" s="26"/>
      <c r="W44" s="13"/>
      <c r="X44" s="13"/>
      <c r="Y44" s="118"/>
      <c r="Z44" s="8" t="s">
        <v>521</v>
      </c>
    </row>
    <row r="45" spans="1:27" s="8" customFormat="1" ht="30" customHeight="1" x14ac:dyDescent="0.25">
      <c r="A45" s="12" t="s">
        <v>490</v>
      </c>
      <c r="B45" s="203" t="s">
        <v>167</v>
      </c>
      <c r="C45" s="11" t="s">
        <v>482</v>
      </c>
      <c r="D45" s="11" t="s">
        <v>483</v>
      </c>
      <c r="E45" s="11"/>
      <c r="F45" s="11"/>
      <c r="G45" s="11" t="s">
        <v>45</v>
      </c>
      <c r="H45" s="11" t="s">
        <v>45</v>
      </c>
      <c r="I45" s="13"/>
      <c r="J45" s="12" t="s">
        <v>73</v>
      </c>
      <c r="K45" s="11"/>
      <c r="L45" s="12"/>
      <c r="M45" s="13"/>
      <c r="N45" s="13"/>
      <c r="O45" s="13"/>
      <c r="P45" s="13">
        <v>44404</v>
      </c>
      <c r="Q45" s="19">
        <f>P45+52</f>
        <v>44456</v>
      </c>
      <c r="R45" s="204"/>
      <c r="S45" s="205">
        <v>1750000</v>
      </c>
      <c r="T45" s="13"/>
      <c r="U45" s="13"/>
      <c r="V45" s="26"/>
      <c r="W45" s="13"/>
      <c r="X45" s="13"/>
      <c r="Y45" s="118"/>
    </row>
    <row r="46" spans="1:27" s="8" customFormat="1" ht="30" customHeight="1" x14ac:dyDescent="0.25">
      <c r="A46" s="12" t="s">
        <v>523</v>
      </c>
      <c r="B46" s="203"/>
      <c r="C46" s="11" t="s">
        <v>524</v>
      </c>
      <c r="D46" s="11" t="s">
        <v>522</v>
      </c>
      <c r="E46" s="11"/>
      <c r="F46" s="11"/>
      <c r="G46" s="11"/>
      <c r="H46" s="11"/>
      <c r="I46" s="13"/>
      <c r="J46" s="12"/>
      <c r="K46" s="11"/>
      <c r="L46" s="12"/>
      <c r="M46" s="13"/>
      <c r="N46" s="13"/>
      <c r="O46" s="13"/>
      <c r="P46" s="13"/>
      <c r="Q46" s="19"/>
      <c r="R46" s="204"/>
      <c r="S46" s="205"/>
      <c r="T46" s="13"/>
      <c r="U46" s="13">
        <v>44774</v>
      </c>
      <c r="V46" s="26"/>
      <c r="W46" s="13"/>
      <c r="X46" s="13"/>
      <c r="Y46" s="118"/>
    </row>
    <row r="47" spans="1:27" s="8" customFormat="1" ht="30" customHeight="1" x14ac:dyDescent="0.25">
      <c r="A47" s="12" t="s">
        <v>523</v>
      </c>
      <c r="B47" s="203"/>
      <c r="C47" s="11" t="s">
        <v>538</v>
      </c>
      <c r="D47" s="11" t="s">
        <v>539</v>
      </c>
      <c r="E47" s="11"/>
      <c r="F47" s="11"/>
      <c r="G47" s="11"/>
      <c r="H47" s="11"/>
      <c r="I47" s="13"/>
      <c r="J47" s="12" t="s">
        <v>540</v>
      </c>
      <c r="K47" s="11"/>
      <c r="L47" s="12"/>
      <c r="M47" s="13"/>
      <c r="N47" s="13"/>
      <c r="O47" s="13"/>
      <c r="P47" s="13"/>
      <c r="Q47" s="19"/>
      <c r="R47" s="204"/>
      <c r="S47" s="205"/>
      <c r="T47" s="13"/>
      <c r="U47" s="13"/>
      <c r="V47" s="26"/>
      <c r="W47" s="13"/>
      <c r="X47" s="13"/>
      <c r="Y47" s="118"/>
    </row>
    <row r="48" spans="1:27" s="8" customFormat="1" ht="30" customHeight="1" x14ac:dyDescent="0.25">
      <c r="A48" s="28" t="s">
        <v>199</v>
      </c>
      <c r="B48" s="28" t="s">
        <v>24</v>
      </c>
      <c r="C48" s="207" t="s">
        <v>200</v>
      </c>
      <c r="D48" s="207" t="s">
        <v>448</v>
      </c>
      <c r="E48" s="207"/>
      <c r="F48" s="207"/>
      <c r="G48" s="207" t="s">
        <v>514</v>
      </c>
      <c r="H48" s="207" t="s">
        <v>38</v>
      </c>
      <c r="I48" s="207"/>
      <c r="J48" s="28" t="s">
        <v>499</v>
      </c>
      <c r="K48" s="207"/>
      <c r="L48" s="28"/>
      <c r="M48" s="18">
        <v>44219</v>
      </c>
      <c r="N48" s="212"/>
      <c r="O48" s="212"/>
      <c r="P48" s="212">
        <v>44277</v>
      </c>
      <c r="Q48" s="212">
        <v>44295</v>
      </c>
      <c r="R48" s="214">
        <f>Q48-P48</f>
        <v>18</v>
      </c>
      <c r="S48" s="215">
        <v>150000</v>
      </c>
      <c r="T48" s="18">
        <v>44350</v>
      </c>
      <c r="U48" s="212">
        <v>44361</v>
      </c>
      <c r="V48" s="216">
        <f t="shared" ref="V48:V58" si="4">(U48-T48)/7/4.3</f>
        <v>0.36544850498338871</v>
      </c>
      <c r="W48" s="13"/>
      <c r="X48" s="13"/>
      <c r="Y48" s="118"/>
    </row>
    <row r="49" spans="1:25" s="8" customFormat="1" ht="30" customHeight="1" x14ac:dyDescent="0.25">
      <c r="A49" s="28" t="s">
        <v>201</v>
      </c>
      <c r="B49" s="28" t="s">
        <v>24</v>
      </c>
      <c r="C49" s="207" t="s">
        <v>202</v>
      </c>
      <c r="D49" s="207" t="s">
        <v>449</v>
      </c>
      <c r="E49" s="207"/>
      <c r="F49" s="207"/>
      <c r="G49" s="207" t="s">
        <v>514</v>
      </c>
      <c r="H49" s="207" t="s">
        <v>38</v>
      </c>
      <c r="I49" s="207"/>
      <c r="J49" s="28" t="s">
        <v>499</v>
      </c>
      <c r="K49" s="207"/>
      <c r="L49" s="28"/>
      <c r="M49" s="18">
        <v>44229</v>
      </c>
      <c r="N49" s="212"/>
      <c r="O49" s="212"/>
      <c r="P49" s="212">
        <v>44277</v>
      </c>
      <c r="Q49" s="212">
        <v>44292</v>
      </c>
      <c r="R49" s="214">
        <f>Q49-P49</f>
        <v>15</v>
      </c>
      <c r="S49" s="215">
        <v>100000</v>
      </c>
      <c r="T49" s="18">
        <v>44340</v>
      </c>
      <c r="U49" s="212">
        <v>44369</v>
      </c>
      <c r="V49" s="216">
        <f t="shared" si="4"/>
        <v>0.96345514950166122</v>
      </c>
      <c r="W49" s="13"/>
      <c r="X49" s="13"/>
      <c r="Y49" s="118"/>
    </row>
    <row r="50" spans="1:25" s="8" customFormat="1" ht="30" customHeight="1" x14ac:dyDescent="0.25">
      <c r="A50" s="28" t="s">
        <v>495</v>
      </c>
      <c r="B50" s="28" t="s">
        <v>24</v>
      </c>
      <c r="C50" s="207" t="s">
        <v>223</v>
      </c>
      <c r="D50" s="207" t="s">
        <v>222</v>
      </c>
      <c r="E50" s="207"/>
      <c r="F50" s="207"/>
      <c r="G50" s="207" t="s">
        <v>68</v>
      </c>
      <c r="H50" s="207" t="s">
        <v>69</v>
      </c>
      <c r="I50" s="207"/>
      <c r="J50" s="28" t="s">
        <v>499</v>
      </c>
      <c r="K50" s="207"/>
      <c r="L50" s="28"/>
      <c r="M50" s="18"/>
      <c r="N50" s="212"/>
      <c r="O50" s="212"/>
      <c r="P50" s="212"/>
      <c r="Q50" s="212"/>
      <c r="R50" s="214">
        <f>Q50-P50</f>
        <v>0</v>
      </c>
      <c r="S50" s="215">
        <v>90000</v>
      </c>
      <c r="T50" s="18">
        <v>44344</v>
      </c>
      <c r="U50" s="212">
        <v>44400</v>
      </c>
      <c r="V50" s="216">
        <f t="shared" si="4"/>
        <v>1.8604651162790697</v>
      </c>
      <c r="W50" s="23"/>
      <c r="X50" s="23"/>
      <c r="Y50" s="172"/>
    </row>
    <row r="51" spans="1:25" s="8" customFormat="1" ht="30" customHeight="1" x14ac:dyDescent="0.25">
      <c r="A51" s="28" t="s">
        <v>210</v>
      </c>
      <c r="B51" s="28"/>
      <c r="C51" s="207" t="s">
        <v>476</v>
      </c>
      <c r="D51" s="207"/>
      <c r="E51" s="207"/>
      <c r="F51" s="207"/>
      <c r="G51" s="207" t="s">
        <v>514</v>
      </c>
      <c r="H51" s="207" t="s">
        <v>38</v>
      </c>
      <c r="I51" s="207"/>
      <c r="J51" s="28" t="s">
        <v>499</v>
      </c>
      <c r="K51" s="207"/>
      <c r="L51" s="28"/>
      <c r="M51" s="18"/>
      <c r="N51" s="212"/>
      <c r="O51" s="212"/>
      <c r="P51" s="212" t="s">
        <v>24</v>
      </c>
      <c r="Q51" s="212" t="s">
        <v>24</v>
      </c>
      <c r="R51" s="214"/>
      <c r="S51" s="215"/>
      <c r="T51" s="18"/>
      <c r="U51" s="212"/>
      <c r="V51" s="216">
        <f t="shared" si="4"/>
        <v>0</v>
      </c>
      <c r="W51" s="13"/>
      <c r="X51" s="13"/>
      <c r="Y51" s="118"/>
    </row>
    <row r="52" spans="1:25" s="8" customFormat="1" ht="30" customHeight="1" x14ac:dyDescent="0.25">
      <c r="A52" s="28"/>
      <c r="B52" s="28"/>
      <c r="C52" s="207" t="s">
        <v>477</v>
      </c>
      <c r="D52" s="207"/>
      <c r="E52" s="207"/>
      <c r="F52" s="207"/>
      <c r="G52" s="207" t="s">
        <v>514</v>
      </c>
      <c r="H52" s="207" t="s">
        <v>38</v>
      </c>
      <c r="I52" s="207"/>
      <c r="J52" s="28" t="s">
        <v>499</v>
      </c>
      <c r="K52" s="207"/>
      <c r="L52" s="28"/>
      <c r="M52" s="18"/>
      <c r="N52" s="212"/>
      <c r="O52" s="212"/>
      <c r="P52" s="212">
        <v>44337</v>
      </c>
      <c r="Q52" s="212">
        <v>44351</v>
      </c>
      <c r="R52" s="214"/>
      <c r="S52" s="215"/>
      <c r="T52" s="18"/>
      <c r="U52" s="212"/>
      <c r="V52" s="216">
        <f t="shared" si="4"/>
        <v>0</v>
      </c>
      <c r="W52" s="13"/>
      <c r="X52" s="13"/>
      <c r="Y52" s="118"/>
    </row>
    <row r="53" spans="1:25" s="8" customFormat="1" ht="30" customHeight="1" x14ac:dyDescent="0.25">
      <c r="A53" s="28"/>
      <c r="B53" s="28"/>
      <c r="C53" s="207" t="s">
        <v>510</v>
      </c>
      <c r="D53" s="207" t="s">
        <v>504</v>
      </c>
      <c r="E53" s="207"/>
      <c r="F53" s="207"/>
      <c r="G53" s="207" t="s">
        <v>514</v>
      </c>
      <c r="H53" s="207"/>
      <c r="I53" s="18"/>
      <c r="J53" s="28" t="s">
        <v>499</v>
      </c>
      <c r="K53" s="207" t="s">
        <v>503</v>
      </c>
      <c r="L53" s="28"/>
      <c r="M53" s="18"/>
      <c r="N53" s="18"/>
      <c r="O53" s="18"/>
      <c r="P53" s="18"/>
      <c r="Q53" s="18"/>
      <c r="R53" s="213"/>
      <c r="S53" s="28"/>
      <c r="T53" s="18"/>
      <c r="U53" s="18">
        <v>44371</v>
      </c>
      <c r="V53" s="216">
        <f t="shared" si="4"/>
        <v>1474.1196013289036</v>
      </c>
      <c r="W53" s="25"/>
      <c r="X53" s="25"/>
      <c r="Y53" s="160"/>
    </row>
    <row r="54" spans="1:25" s="8" customFormat="1" ht="30" customHeight="1" x14ac:dyDescent="0.25">
      <c r="A54" s="28"/>
      <c r="B54" s="28"/>
      <c r="C54" s="207" t="s">
        <v>515</v>
      </c>
      <c r="D54" s="207" t="s">
        <v>516</v>
      </c>
      <c r="E54" s="207"/>
      <c r="F54" s="207"/>
      <c r="G54" s="207" t="s">
        <v>514</v>
      </c>
      <c r="H54" s="207"/>
      <c r="I54" s="18"/>
      <c r="J54" s="28" t="s">
        <v>499</v>
      </c>
      <c r="K54" s="207" t="s">
        <v>502</v>
      </c>
      <c r="L54" s="28"/>
      <c r="M54" s="18"/>
      <c r="N54" s="18"/>
      <c r="O54" s="18"/>
      <c r="P54" s="18"/>
      <c r="Q54" s="18"/>
      <c r="R54" s="213"/>
      <c r="S54" s="28"/>
      <c r="T54" s="18"/>
      <c r="U54" s="18">
        <v>44386</v>
      </c>
      <c r="V54" s="216">
        <f t="shared" si="4"/>
        <v>1474.6179401993356</v>
      </c>
      <c r="W54" s="25"/>
      <c r="X54" s="25"/>
      <c r="Y54" s="160"/>
    </row>
    <row r="55" spans="1:25" s="8" customFormat="1" ht="30" customHeight="1" x14ac:dyDescent="0.25">
      <c r="A55" s="237"/>
      <c r="B55" s="237"/>
      <c r="C55" s="238" t="s">
        <v>509</v>
      </c>
      <c r="D55" s="238" t="s">
        <v>506</v>
      </c>
      <c r="E55" s="238"/>
      <c r="F55" s="238"/>
      <c r="G55" s="238" t="s">
        <v>514</v>
      </c>
      <c r="H55" s="238"/>
      <c r="I55" s="239"/>
      <c r="J55" s="237" t="s">
        <v>499</v>
      </c>
      <c r="K55" s="238" t="s">
        <v>505</v>
      </c>
      <c r="L55" s="237"/>
      <c r="M55" s="239"/>
      <c r="N55" s="239"/>
      <c r="O55" s="239"/>
      <c r="P55" s="239"/>
      <c r="Q55" s="239"/>
      <c r="R55" s="240"/>
      <c r="S55" s="237"/>
      <c r="T55" s="239"/>
      <c r="U55" s="239">
        <v>44372</v>
      </c>
      <c r="V55" s="241">
        <f t="shared" si="4"/>
        <v>1474.152823920266</v>
      </c>
      <c r="W55" s="25"/>
      <c r="X55" s="25"/>
      <c r="Y55" s="160"/>
    </row>
    <row r="56" spans="1:25" s="8" customFormat="1" ht="30" customHeight="1" x14ac:dyDescent="0.25">
      <c r="A56" s="28"/>
      <c r="B56" s="28"/>
      <c r="C56" s="207" t="s">
        <v>501</v>
      </c>
      <c r="D56" s="207" t="s">
        <v>498</v>
      </c>
      <c r="E56" s="207"/>
      <c r="F56" s="207"/>
      <c r="G56" s="207" t="s">
        <v>514</v>
      </c>
      <c r="H56" s="207"/>
      <c r="I56" s="18"/>
      <c r="J56" s="28" t="s">
        <v>499</v>
      </c>
      <c r="K56" s="207" t="s">
        <v>500</v>
      </c>
      <c r="L56" s="28"/>
      <c r="M56" s="18"/>
      <c r="N56" s="18"/>
      <c r="O56" s="18"/>
      <c r="P56" s="18"/>
      <c r="Q56" s="18"/>
      <c r="R56" s="213"/>
      <c r="S56" s="28"/>
      <c r="T56" s="18"/>
      <c r="U56" s="18">
        <v>44386</v>
      </c>
      <c r="V56" s="216">
        <f t="shared" si="4"/>
        <v>1474.6179401993356</v>
      </c>
      <c r="W56" s="25"/>
      <c r="X56" s="25"/>
      <c r="Y56" s="160"/>
    </row>
    <row r="57" spans="1:25" s="8" customFormat="1" ht="30" customHeight="1" x14ac:dyDescent="0.25">
      <c r="A57" s="28"/>
      <c r="B57" s="28"/>
      <c r="C57" s="207" t="s">
        <v>511</v>
      </c>
      <c r="D57" s="207" t="s">
        <v>508</v>
      </c>
      <c r="E57" s="207"/>
      <c r="F57" s="207"/>
      <c r="G57" s="207" t="s">
        <v>514</v>
      </c>
      <c r="H57" s="207"/>
      <c r="I57" s="18"/>
      <c r="J57" s="28" t="s">
        <v>499</v>
      </c>
      <c r="K57" s="207" t="s">
        <v>507</v>
      </c>
      <c r="L57" s="28"/>
      <c r="M57" s="18"/>
      <c r="N57" s="18"/>
      <c r="O57" s="18"/>
      <c r="P57" s="18"/>
      <c r="Q57" s="18"/>
      <c r="R57" s="213"/>
      <c r="S57" s="28">
        <v>50000</v>
      </c>
      <c r="T57" s="18"/>
      <c r="U57" s="18">
        <v>44400</v>
      </c>
      <c r="V57" s="216">
        <f t="shared" si="4"/>
        <v>1475.0830564784055</v>
      </c>
      <c r="W57" s="25"/>
      <c r="X57" s="25"/>
      <c r="Y57" s="160"/>
    </row>
    <row r="58" spans="1:25" s="8" customFormat="1" ht="30" customHeight="1" x14ac:dyDescent="0.25">
      <c r="A58" s="28"/>
      <c r="B58" s="28"/>
      <c r="C58" s="207" t="s">
        <v>512</v>
      </c>
      <c r="D58" s="207"/>
      <c r="E58" s="207"/>
      <c r="F58" s="207"/>
      <c r="G58" s="207" t="s">
        <v>514</v>
      </c>
      <c r="H58" s="207"/>
      <c r="I58" s="18"/>
      <c r="J58" s="28" t="s">
        <v>499</v>
      </c>
      <c r="K58" s="207"/>
      <c r="L58" s="28"/>
      <c r="M58" s="18"/>
      <c r="N58" s="18"/>
      <c r="O58" s="18"/>
      <c r="P58" s="18">
        <v>44340</v>
      </c>
      <c r="Q58" s="18">
        <v>44349</v>
      </c>
      <c r="R58" s="213"/>
      <c r="S58" s="28">
        <v>60000</v>
      </c>
      <c r="T58" s="18"/>
      <c r="U58" s="18"/>
      <c r="V58" s="216">
        <f t="shared" si="4"/>
        <v>0</v>
      </c>
      <c r="W58" s="25"/>
      <c r="X58" s="25"/>
      <c r="Y58" s="160"/>
    </row>
    <row r="59" spans="1:25" s="252" customFormat="1" ht="30" customHeight="1" x14ac:dyDescent="0.25">
      <c r="A59" s="224" t="s">
        <v>231</v>
      </c>
      <c r="B59" s="224" t="s">
        <v>24</v>
      </c>
      <c r="C59" s="225" t="s">
        <v>232</v>
      </c>
      <c r="D59" s="225" t="s">
        <v>233</v>
      </c>
      <c r="E59" s="225"/>
      <c r="F59" s="225"/>
      <c r="G59" s="225" t="s">
        <v>234</v>
      </c>
      <c r="H59" s="225" t="s">
        <v>28</v>
      </c>
      <c r="I59" s="227" t="s">
        <v>235</v>
      </c>
      <c r="J59" s="224" t="s">
        <v>237</v>
      </c>
      <c r="K59" s="225" t="s">
        <v>236</v>
      </c>
      <c r="L59" s="224" t="s">
        <v>30</v>
      </c>
      <c r="M59" s="224" t="s">
        <v>24</v>
      </c>
      <c r="N59" s="224" t="s">
        <v>24</v>
      </c>
      <c r="O59" s="227"/>
      <c r="P59" s="224"/>
      <c r="Q59" s="227" t="s">
        <v>24</v>
      </c>
      <c r="R59" s="235"/>
      <c r="S59" s="229" t="s">
        <v>24</v>
      </c>
      <c r="T59" s="227" t="s">
        <v>24</v>
      </c>
      <c r="U59" s="227" t="s">
        <v>237</v>
      </c>
      <c r="V59" s="232"/>
      <c r="W59" s="227"/>
      <c r="X59" s="224"/>
      <c r="Y59" s="225"/>
    </row>
    <row r="60" spans="1:25" s="252" customFormat="1" ht="30" customHeight="1" x14ac:dyDescent="0.25">
      <c r="A60" s="224" t="s">
        <v>215</v>
      </c>
      <c r="B60" s="224" t="s">
        <v>24</v>
      </c>
      <c r="C60" s="225" t="s">
        <v>513</v>
      </c>
      <c r="D60" s="225"/>
      <c r="E60" s="225"/>
      <c r="F60" s="225"/>
      <c r="G60" s="225" t="s">
        <v>484</v>
      </c>
      <c r="H60" s="225" t="s">
        <v>484</v>
      </c>
      <c r="I60" s="225"/>
      <c r="J60" s="224" t="s">
        <v>237</v>
      </c>
      <c r="K60" s="227"/>
      <c r="L60" s="230"/>
      <c r="M60" s="230"/>
      <c r="N60" s="224" t="s">
        <v>499</v>
      </c>
      <c r="O60" s="224"/>
      <c r="P60" s="230">
        <v>44299</v>
      </c>
      <c r="Q60" s="230">
        <v>44319</v>
      </c>
      <c r="R60" s="228">
        <f>Q60-P60</f>
        <v>20</v>
      </c>
      <c r="S60" s="233">
        <v>89724</v>
      </c>
      <c r="T60" s="227">
        <v>44327</v>
      </c>
      <c r="U60" s="230">
        <v>44348</v>
      </c>
      <c r="V60" s="232">
        <f>(U60-T60)/7/4.3</f>
        <v>0.69767441860465118</v>
      </c>
      <c r="W60" s="227"/>
      <c r="X60" s="227"/>
      <c r="Y60" s="253"/>
    </row>
    <row r="61" spans="1:25" s="252" customFormat="1" ht="30" customHeight="1" x14ac:dyDescent="0.25">
      <c r="A61" s="224" t="s">
        <v>238</v>
      </c>
      <c r="B61" s="224" t="s">
        <v>24</v>
      </c>
      <c r="C61" s="225" t="s">
        <v>239</v>
      </c>
      <c r="D61" s="225" t="s">
        <v>240</v>
      </c>
      <c r="E61" s="225"/>
      <c r="F61" s="225"/>
      <c r="G61" s="225" t="s">
        <v>234</v>
      </c>
      <c r="H61" s="225" t="s">
        <v>241</v>
      </c>
      <c r="I61" s="227">
        <v>44399</v>
      </c>
      <c r="J61" s="224" t="s">
        <v>237</v>
      </c>
      <c r="K61" s="225"/>
      <c r="L61" s="224" t="s">
        <v>40</v>
      </c>
      <c r="M61" s="224" t="s">
        <v>24</v>
      </c>
      <c r="N61" s="224" t="s">
        <v>24</v>
      </c>
      <c r="O61" s="227"/>
      <c r="P61" s="224"/>
      <c r="Q61" s="227" t="s">
        <v>24</v>
      </c>
      <c r="R61" s="235"/>
      <c r="S61" s="229">
        <v>1219262</v>
      </c>
      <c r="T61" s="227">
        <v>43889</v>
      </c>
      <c r="U61" s="227">
        <v>44204</v>
      </c>
      <c r="V61" s="232">
        <f>(U61-T61)/7/4.3</f>
        <v>10.465116279069768</v>
      </c>
      <c r="W61" s="227"/>
      <c r="X61" s="224"/>
      <c r="Y61" s="225"/>
    </row>
    <row r="62" spans="1:25" s="252" customFormat="1" ht="30" customHeight="1" x14ac:dyDescent="0.25">
      <c r="A62" s="224" t="s">
        <v>242</v>
      </c>
      <c r="B62" s="224" t="s">
        <v>24</v>
      </c>
      <c r="C62" s="225" t="s">
        <v>243</v>
      </c>
      <c r="D62" s="225" t="s">
        <v>244</v>
      </c>
      <c r="E62" s="225"/>
      <c r="F62" s="225"/>
      <c r="G62" s="225" t="s">
        <v>234</v>
      </c>
      <c r="H62" s="225" t="s">
        <v>44</v>
      </c>
      <c r="I62" s="227">
        <v>44398</v>
      </c>
      <c r="J62" s="224" t="s">
        <v>237</v>
      </c>
      <c r="K62" s="225" t="s">
        <v>245</v>
      </c>
      <c r="L62" s="224" t="s">
        <v>30</v>
      </c>
      <c r="M62" s="224" t="s">
        <v>24</v>
      </c>
      <c r="N62" s="224" t="s">
        <v>24</v>
      </c>
      <c r="O62" s="227"/>
      <c r="P62" s="224"/>
      <c r="Q62" s="227" t="s">
        <v>24</v>
      </c>
      <c r="R62" s="235"/>
      <c r="S62" s="229" t="s">
        <v>24</v>
      </c>
      <c r="T62" s="227" t="s">
        <v>24</v>
      </c>
      <c r="U62" s="227" t="s">
        <v>237</v>
      </c>
      <c r="V62" s="232"/>
      <c r="W62" s="227"/>
      <c r="X62" s="224"/>
      <c r="Y62" s="225"/>
    </row>
    <row r="63" spans="1:25" s="252" customFormat="1" ht="30" customHeight="1" x14ac:dyDescent="0.25">
      <c r="A63" s="224" t="s">
        <v>246</v>
      </c>
      <c r="B63" s="224" t="s">
        <v>24</v>
      </c>
      <c r="C63" s="225" t="s">
        <v>247</v>
      </c>
      <c r="D63" s="225" t="s">
        <v>248</v>
      </c>
      <c r="E63" s="225"/>
      <c r="F63" s="225"/>
      <c r="G63" s="225" t="s">
        <v>234</v>
      </c>
      <c r="H63" s="225" t="s">
        <v>27</v>
      </c>
      <c r="I63" s="226" t="s">
        <v>235</v>
      </c>
      <c r="J63" s="224" t="s">
        <v>237</v>
      </c>
      <c r="K63" s="225" t="s">
        <v>249</v>
      </c>
      <c r="L63" s="224" t="s">
        <v>30</v>
      </c>
      <c r="M63" s="224" t="s">
        <v>24</v>
      </c>
      <c r="N63" s="224" t="s">
        <v>24</v>
      </c>
      <c r="O63" s="230"/>
      <c r="P63" s="224"/>
      <c r="Q63" s="227" t="s">
        <v>24</v>
      </c>
      <c r="R63" s="228"/>
      <c r="S63" s="229" t="s">
        <v>24</v>
      </c>
      <c r="T63" s="227" t="s">
        <v>24</v>
      </c>
      <c r="U63" s="227" t="s">
        <v>237</v>
      </c>
      <c r="V63" s="232"/>
      <c r="W63" s="227"/>
      <c r="X63" s="224"/>
      <c r="Y63" s="225"/>
    </row>
    <row r="64" spans="1:25" s="252" customFormat="1" ht="30" customHeight="1" x14ac:dyDescent="0.25">
      <c r="A64" s="224" t="s">
        <v>250</v>
      </c>
      <c r="B64" s="224" t="s">
        <v>24</v>
      </c>
      <c r="C64" s="225" t="s">
        <v>251</v>
      </c>
      <c r="D64" s="225" t="s">
        <v>252</v>
      </c>
      <c r="E64" s="225"/>
      <c r="F64" s="225"/>
      <c r="G64" s="225" t="s">
        <v>119</v>
      </c>
      <c r="H64" s="225" t="s">
        <v>28</v>
      </c>
      <c r="I64" s="226" t="s">
        <v>235</v>
      </c>
      <c r="J64" s="224" t="s">
        <v>237</v>
      </c>
      <c r="K64" s="225" t="s">
        <v>253</v>
      </c>
      <c r="L64" s="224" t="s">
        <v>30</v>
      </c>
      <c r="M64" s="224" t="s">
        <v>24</v>
      </c>
      <c r="N64" s="224" t="s">
        <v>24</v>
      </c>
      <c r="O64" s="254"/>
      <c r="P64" s="224"/>
      <c r="Q64" s="227" t="s">
        <v>24</v>
      </c>
      <c r="R64" s="255"/>
      <c r="S64" s="229" t="s">
        <v>24</v>
      </c>
      <c r="T64" s="227" t="s">
        <v>24</v>
      </c>
      <c r="U64" s="227" t="s">
        <v>237</v>
      </c>
      <c r="V64" s="232">
        <v>11</v>
      </c>
      <c r="W64" s="227">
        <v>44169</v>
      </c>
      <c r="X64" s="224"/>
      <c r="Y64" s="225"/>
    </row>
    <row r="65" spans="1:25" s="256" customFormat="1" ht="30" customHeight="1" x14ac:dyDescent="0.25">
      <c r="A65" s="224" t="s">
        <v>254</v>
      </c>
      <c r="B65" s="224" t="s">
        <v>24</v>
      </c>
      <c r="C65" s="225" t="s">
        <v>255</v>
      </c>
      <c r="D65" s="225" t="s">
        <v>252</v>
      </c>
      <c r="E65" s="225"/>
      <c r="F65" s="225"/>
      <c r="G65" s="225" t="s">
        <v>119</v>
      </c>
      <c r="H65" s="225" t="s">
        <v>28</v>
      </c>
      <c r="I65" s="227" t="s">
        <v>235</v>
      </c>
      <c r="J65" s="224" t="s">
        <v>237</v>
      </c>
      <c r="K65" s="225" t="s">
        <v>253</v>
      </c>
      <c r="L65" s="224" t="s">
        <v>30</v>
      </c>
      <c r="M65" s="224" t="s">
        <v>24</v>
      </c>
      <c r="N65" s="224" t="s">
        <v>24</v>
      </c>
      <c r="O65" s="254"/>
      <c r="P65" s="224"/>
      <c r="Q65" s="227" t="s">
        <v>24</v>
      </c>
      <c r="R65" s="255"/>
      <c r="S65" s="229" t="s">
        <v>24</v>
      </c>
      <c r="T65" s="227" t="s">
        <v>24</v>
      </c>
      <c r="U65" s="227" t="s">
        <v>237</v>
      </c>
      <c r="V65" s="232">
        <v>6</v>
      </c>
      <c r="W65" s="227">
        <v>44169</v>
      </c>
      <c r="X65" s="224"/>
      <c r="Y65" s="225"/>
    </row>
    <row r="66" spans="1:25" s="252" customFormat="1" ht="30" customHeight="1" x14ac:dyDescent="0.25">
      <c r="A66" s="224" t="s">
        <v>256</v>
      </c>
      <c r="B66" s="224" t="s">
        <v>24</v>
      </c>
      <c r="C66" s="225" t="s">
        <v>257</v>
      </c>
      <c r="D66" s="225" t="s">
        <v>252</v>
      </c>
      <c r="E66" s="225"/>
      <c r="F66" s="225"/>
      <c r="G66" s="225" t="s">
        <v>119</v>
      </c>
      <c r="H66" s="225" t="s">
        <v>28</v>
      </c>
      <c r="I66" s="227" t="s">
        <v>235</v>
      </c>
      <c r="J66" s="224" t="s">
        <v>237</v>
      </c>
      <c r="K66" s="225" t="s">
        <v>253</v>
      </c>
      <c r="L66" s="224" t="s">
        <v>30</v>
      </c>
      <c r="M66" s="224" t="s">
        <v>24</v>
      </c>
      <c r="N66" s="224" t="s">
        <v>24</v>
      </c>
      <c r="O66" s="254"/>
      <c r="P66" s="224"/>
      <c r="Q66" s="227" t="s">
        <v>24</v>
      </c>
      <c r="R66" s="255"/>
      <c r="S66" s="229" t="s">
        <v>24</v>
      </c>
      <c r="T66" s="227" t="s">
        <v>24</v>
      </c>
      <c r="U66" s="227" t="s">
        <v>237</v>
      </c>
      <c r="V66" s="232">
        <v>6</v>
      </c>
      <c r="W66" s="227">
        <v>44169</v>
      </c>
      <c r="X66" s="224"/>
      <c r="Y66" s="225"/>
    </row>
    <row r="67" spans="1:25" s="252" customFormat="1" ht="30" customHeight="1" x14ac:dyDescent="0.25">
      <c r="A67" s="224" t="s">
        <v>258</v>
      </c>
      <c r="B67" s="224" t="s">
        <v>24</v>
      </c>
      <c r="C67" s="225" t="s">
        <v>259</v>
      </c>
      <c r="D67" s="225" t="s">
        <v>260</v>
      </c>
      <c r="E67" s="225"/>
      <c r="F67" s="225"/>
      <c r="G67" s="225" t="s">
        <v>234</v>
      </c>
      <c r="H67" s="225" t="s">
        <v>241</v>
      </c>
      <c r="I67" s="227" t="s">
        <v>235</v>
      </c>
      <c r="J67" s="224" t="s">
        <v>237</v>
      </c>
      <c r="K67" s="225" t="s">
        <v>261</v>
      </c>
      <c r="L67" s="224" t="s">
        <v>40</v>
      </c>
      <c r="M67" s="224" t="s">
        <v>24</v>
      </c>
      <c r="N67" s="224" t="s">
        <v>24</v>
      </c>
      <c r="O67" s="227"/>
      <c r="P67" s="224"/>
      <c r="Q67" s="227" t="s">
        <v>24</v>
      </c>
      <c r="R67" s="235"/>
      <c r="S67" s="229" t="s">
        <v>24</v>
      </c>
      <c r="T67" s="227" t="s">
        <v>24</v>
      </c>
      <c r="U67" s="227" t="s">
        <v>237</v>
      </c>
      <c r="V67" s="232"/>
      <c r="W67" s="227"/>
      <c r="X67" s="224"/>
      <c r="Y67" s="225"/>
    </row>
    <row r="68" spans="1:25" s="252" customFormat="1" ht="30" customHeight="1" x14ac:dyDescent="0.25">
      <c r="A68" s="224" t="s">
        <v>262</v>
      </c>
      <c r="B68" s="224" t="s">
        <v>24</v>
      </c>
      <c r="C68" s="225" t="s">
        <v>263</v>
      </c>
      <c r="D68" s="225" t="s">
        <v>264</v>
      </c>
      <c r="E68" s="225"/>
      <c r="F68" s="225"/>
      <c r="G68" s="225" t="s">
        <v>68</v>
      </c>
      <c r="H68" s="225" t="s">
        <v>69</v>
      </c>
      <c r="I68" s="227" t="s">
        <v>235</v>
      </c>
      <c r="J68" s="224" t="s">
        <v>237</v>
      </c>
      <c r="K68" s="225" t="s">
        <v>265</v>
      </c>
      <c r="L68" s="224" t="s">
        <v>30</v>
      </c>
      <c r="M68" s="224" t="s">
        <v>24</v>
      </c>
      <c r="N68" s="224" t="s">
        <v>24</v>
      </c>
      <c r="O68" s="230"/>
      <c r="P68" s="224"/>
      <c r="Q68" s="227" t="s">
        <v>237</v>
      </c>
      <c r="R68" s="228"/>
      <c r="S68" s="229" t="s">
        <v>24</v>
      </c>
      <c r="T68" s="227" t="s">
        <v>24</v>
      </c>
      <c r="U68" s="227">
        <v>44154</v>
      </c>
      <c r="V68" s="232"/>
      <c r="W68" s="227"/>
      <c r="X68" s="224"/>
      <c r="Y68" s="225"/>
    </row>
    <row r="69" spans="1:25" s="252" customFormat="1" ht="30" customHeight="1" x14ac:dyDescent="0.25">
      <c r="A69" s="224" t="s">
        <v>35</v>
      </c>
      <c r="B69" s="224" t="s">
        <v>24</v>
      </c>
      <c r="C69" s="225" t="s">
        <v>36</v>
      </c>
      <c r="D69" s="225" t="s">
        <v>37</v>
      </c>
      <c r="E69" s="225"/>
      <c r="F69" s="225"/>
      <c r="G69" s="225" t="s">
        <v>27</v>
      </c>
      <c r="H69" s="225" t="s">
        <v>38</v>
      </c>
      <c r="I69" s="227">
        <v>44548</v>
      </c>
      <c r="J69" s="224" t="s">
        <v>237</v>
      </c>
      <c r="K69" s="225" t="s">
        <v>39</v>
      </c>
      <c r="L69" s="224" t="s">
        <v>40</v>
      </c>
      <c r="M69" s="227" t="s">
        <v>24</v>
      </c>
      <c r="N69" s="227">
        <v>44128</v>
      </c>
      <c r="O69" s="227" t="s">
        <v>471</v>
      </c>
      <c r="P69" s="227">
        <v>44098</v>
      </c>
      <c r="Q69" s="227">
        <v>44166</v>
      </c>
      <c r="R69" s="235">
        <f>Q69-P69</f>
        <v>68</v>
      </c>
      <c r="S69" s="233">
        <v>984546</v>
      </c>
      <c r="T69" s="230">
        <v>44241</v>
      </c>
      <c r="U69" s="230">
        <v>44413</v>
      </c>
      <c r="V69" s="232">
        <f>(U69-T69)/7/4.3</f>
        <v>5.7142857142857153</v>
      </c>
      <c r="W69" s="227"/>
      <c r="X69" s="227"/>
      <c r="Y69" s="253"/>
    </row>
    <row r="70" spans="1:25" s="252" customFormat="1" ht="30" customHeight="1" x14ac:dyDescent="0.25">
      <c r="A70" s="224" t="s">
        <v>266</v>
      </c>
      <c r="B70" s="224" t="s">
        <v>24</v>
      </c>
      <c r="C70" s="225" t="s">
        <v>267</v>
      </c>
      <c r="D70" s="225" t="s">
        <v>268</v>
      </c>
      <c r="E70" s="225"/>
      <c r="F70" s="225"/>
      <c r="G70" s="225" t="s">
        <v>68</v>
      </c>
      <c r="H70" s="225" t="s">
        <v>69</v>
      </c>
      <c r="I70" s="226"/>
      <c r="J70" s="224" t="s">
        <v>237</v>
      </c>
      <c r="K70" s="225"/>
      <c r="L70" s="224"/>
      <c r="M70" s="224" t="s">
        <v>24</v>
      </c>
      <c r="N70" s="224" t="s">
        <v>24</v>
      </c>
      <c r="O70" s="254"/>
      <c r="P70" s="224"/>
      <c r="Q70" s="227" t="s">
        <v>237</v>
      </c>
      <c r="R70" s="235"/>
      <c r="S70" s="229" t="s">
        <v>24</v>
      </c>
      <c r="T70" s="227" t="s">
        <v>24</v>
      </c>
      <c r="U70" s="227" t="s">
        <v>237</v>
      </c>
      <c r="V70" s="232"/>
      <c r="W70" s="227"/>
      <c r="X70" s="224"/>
      <c r="Y70" s="225"/>
    </row>
    <row r="71" spans="1:25" s="252" customFormat="1" ht="30" customHeight="1" x14ac:dyDescent="0.25">
      <c r="A71" s="224" t="s">
        <v>49</v>
      </c>
      <c r="B71" s="224" t="s">
        <v>24</v>
      </c>
      <c r="C71" s="225" t="s">
        <v>50</v>
      </c>
      <c r="D71" s="225" t="s">
        <v>51</v>
      </c>
      <c r="E71" s="225"/>
      <c r="F71" s="225"/>
      <c r="G71" s="225" t="s">
        <v>52</v>
      </c>
      <c r="H71" s="225" t="s">
        <v>53</v>
      </c>
      <c r="I71" s="227">
        <v>44288</v>
      </c>
      <c r="J71" s="224" t="s">
        <v>237</v>
      </c>
      <c r="K71" s="225" t="s">
        <v>54</v>
      </c>
      <c r="L71" s="224" t="s">
        <v>30</v>
      </c>
      <c r="M71" s="227">
        <v>43644</v>
      </c>
      <c r="N71" s="227">
        <v>43928</v>
      </c>
      <c r="O71" s="227" t="s">
        <v>461</v>
      </c>
      <c r="P71" s="227">
        <v>43965</v>
      </c>
      <c r="Q71" s="227">
        <v>44020</v>
      </c>
      <c r="R71" s="235">
        <f>Q71-P71</f>
        <v>55</v>
      </c>
      <c r="S71" s="233">
        <v>9534114</v>
      </c>
      <c r="T71" s="227">
        <v>44033</v>
      </c>
      <c r="U71" s="230">
        <v>44371</v>
      </c>
      <c r="V71" s="232">
        <f>(U71-T71)/7/4.3</f>
        <v>11.22923588039867</v>
      </c>
      <c r="W71" s="227"/>
      <c r="X71" s="225" t="s">
        <v>496</v>
      </c>
      <c r="Y71" s="225"/>
    </row>
    <row r="72" spans="1:25" s="252" customFormat="1" ht="30" customHeight="1" x14ac:dyDescent="0.25">
      <c r="A72" s="224" t="s">
        <v>269</v>
      </c>
      <c r="B72" s="224" t="s">
        <v>24</v>
      </c>
      <c r="C72" s="225" t="s">
        <v>270</v>
      </c>
      <c r="D72" s="225" t="s">
        <v>271</v>
      </c>
      <c r="E72" s="225"/>
      <c r="F72" s="225"/>
      <c r="G72" s="225" t="s">
        <v>68</v>
      </c>
      <c r="H72" s="225" t="s">
        <v>69</v>
      </c>
      <c r="I72" s="226">
        <v>44574</v>
      </c>
      <c r="J72" s="224" t="s">
        <v>237</v>
      </c>
      <c r="K72" s="225" t="s">
        <v>272</v>
      </c>
      <c r="L72" s="224" t="s">
        <v>30</v>
      </c>
      <c r="M72" s="227">
        <v>43640</v>
      </c>
      <c r="N72" s="224" t="s">
        <v>24</v>
      </c>
      <c r="O72" s="224"/>
      <c r="P72" s="234">
        <v>43865</v>
      </c>
      <c r="Q72" s="227">
        <v>43944</v>
      </c>
      <c r="R72" s="235">
        <f>Q72-P72</f>
        <v>79</v>
      </c>
      <c r="S72" s="229">
        <v>890454</v>
      </c>
      <c r="T72" s="227">
        <v>43951</v>
      </c>
      <c r="U72" s="230">
        <v>44218</v>
      </c>
      <c r="V72" s="232">
        <f>(U72-T72)/7/4.3</f>
        <v>8.8704318936877087</v>
      </c>
      <c r="W72" s="227">
        <v>44223</v>
      </c>
      <c r="X72" s="227">
        <v>44232</v>
      </c>
      <c r="Y72" s="225"/>
    </row>
    <row r="73" spans="1:25" s="256" customFormat="1" ht="30" customHeight="1" x14ac:dyDescent="0.25">
      <c r="A73" s="224" t="s">
        <v>273</v>
      </c>
      <c r="B73" s="224" t="s">
        <v>24</v>
      </c>
      <c r="C73" s="225" t="s">
        <v>274</v>
      </c>
      <c r="D73" s="225" t="s">
        <v>275</v>
      </c>
      <c r="E73" s="225"/>
      <c r="F73" s="225"/>
      <c r="G73" s="225" t="s">
        <v>234</v>
      </c>
      <c r="H73" s="225" t="s">
        <v>241</v>
      </c>
      <c r="I73" s="227" t="s">
        <v>235</v>
      </c>
      <c r="J73" s="224" t="s">
        <v>237</v>
      </c>
      <c r="K73" s="225" t="s">
        <v>276</v>
      </c>
      <c r="L73" s="224" t="s">
        <v>30</v>
      </c>
      <c r="M73" s="234">
        <v>43654</v>
      </c>
      <c r="N73" s="224" t="s">
        <v>24</v>
      </c>
      <c r="O73" s="227"/>
      <c r="P73" s="224"/>
      <c r="Q73" s="227" t="s">
        <v>24</v>
      </c>
      <c r="R73" s="235"/>
      <c r="S73" s="229">
        <v>577676</v>
      </c>
      <c r="T73" s="227">
        <v>43889</v>
      </c>
      <c r="U73" s="227">
        <v>44187</v>
      </c>
      <c r="V73" s="232">
        <f>(U73-T73)/7/4.3</f>
        <v>9.9003322259136208</v>
      </c>
      <c r="W73" s="227"/>
      <c r="X73" s="224"/>
      <c r="Y73" s="225"/>
    </row>
    <row r="74" spans="1:25" s="256" customFormat="1" ht="30" customHeight="1" x14ac:dyDescent="0.25">
      <c r="A74" s="224" t="s">
        <v>277</v>
      </c>
      <c r="B74" s="224" t="s">
        <v>24</v>
      </c>
      <c r="C74" s="225" t="s">
        <v>278</v>
      </c>
      <c r="D74" s="225" t="s">
        <v>279</v>
      </c>
      <c r="E74" s="225"/>
      <c r="F74" s="225"/>
      <c r="G74" s="225" t="s">
        <v>234</v>
      </c>
      <c r="H74" s="225" t="s">
        <v>241</v>
      </c>
      <c r="I74" s="227" t="s">
        <v>235</v>
      </c>
      <c r="J74" s="224" t="s">
        <v>237</v>
      </c>
      <c r="K74" s="225" t="s">
        <v>39</v>
      </c>
      <c r="L74" s="224" t="s">
        <v>40</v>
      </c>
      <c r="M74" s="224" t="s">
        <v>24</v>
      </c>
      <c r="N74" s="224" t="s">
        <v>24</v>
      </c>
      <c r="O74" s="227"/>
      <c r="P74" s="224"/>
      <c r="Q74" s="227" t="s">
        <v>24</v>
      </c>
      <c r="R74" s="235"/>
      <c r="S74" s="229" t="s">
        <v>24</v>
      </c>
      <c r="T74" s="227" t="s">
        <v>24</v>
      </c>
      <c r="U74" s="227" t="s">
        <v>237</v>
      </c>
      <c r="V74" s="232"/>
      <c r="W74" s="227"/>
      <c r="X74" s="224"/>
      <c r="Y74" s="225"/>
    </row>
    <row r="75" spans="1:25" s="252" customFormat="1" ht="30" customHeight="1" x14ac:dyDescent="0.25">
      <c r="A75" s="224" t="s">
        <v>65</v>
      </c>
      <c r="B75" s="224" t="s">
        <v>24</v>
      </c>
      <c r="C75" s="225" t="s">
        <v>66</v>
      </c>
      <c r="D75" s="225" t="s">
        <v>67</v>
      </c>
      <c r="E75" s="225"/>
      <c r="F75" s="225"/>
      <c r="G75" s="225" t="s">
        <v>68</v>
      </c>
      <c r="H75" s="225" t="s">
        <v>69</v>
      </c>
      <c r="I75" s="226">
        <v>44534</v>
      </c>
      <c r="J75" s="224" t="s">
        <v>237</v>
      </c>
      <c r="K75" s="225" t="s">
        <v>70</v>
      </c>
      <c r="L75" s="224" t="s">
        <v>40</v>
      </c>
      <c r="M75" s="227">
        <v>43679</v>
      </c>
      <c r="N75" s="227">
        <v>43808</v>
      </c>
      <c r="O75" s="227" t="s">
        <v>463</v>
      </c>
      <c r="P75" s="227">
        <v>43929</v>
      </c>
      <c r="Q75" s="227">
        <v>44004</v>
      </c>
      <c r="R75" s="235">
        <f>Q75-P75</f>
        <v>75</v>
      </c>
      <c r="S75" s="229">
        <v>2080665</v>
      </c>
      <c r="T75" s="227">
        <v>44004</v>
      </c>
      <c r="U75" s="230">
        <v>44301</v>
      </c>
      <c r="V75" s="232">
        <f>(U75-T75)/7/4.3</f>
        <v>9.867109634551495</v>
      </c>
      <c r="W75" s="227"/>
      <c r="X75" s="227"/>
      <c r="Y75" s="225"/>
    </row>
    <row r="76" spans="1:25" s="252" customFormat="1" ht="30" customHeight="1" x14ac:dyDescent="0.25">
      <c r="A76" s="224" t="s">
        <v>74</v>
      </c>
      <c r="B76" s="224" t="s">
        <v>75</v>
      </c>
      <c r="C76" s="225" t="s">
        <v>76</v>
      </c>
      <c r="D76" s="225" t="s">
        <v>77</v>
      </c>
      <c r="E76" s="225"/>
      <c r="F76" s="225"/>
      <c r="G76" s="225" t="s">
        <v>68</v>
      </c>
      <c r="H76" s="225" t="s">
        <v>69</v>
      </c>
      <c r="I76" s="226"/>
      <c r="J76" s="224" t="s">
        <v>237</v>
      </c>
      <c r="K76" s="225" t="s">
        <v>39</v>
      </c>
      <c r="L76" s="224" t="s">
        <v>30</v>
      </c>
      <c r="M76" s="227" t="s">
        <v>24</v>
      </c>
      <c r="N76" s="227">
        <v>43874</v>
      </c>
      <c r="O76" s="227"/>
      <c r="P76" s="227">
        <v>44098</v>
      </c>
      <c r="Q76" s="227">
        <v>44271</v>
      </c>
      <c r="R76" s="228">
        <f>Q76-P76</f>
        <v>173</v>
      </c>
      <c r="S76" s="229">
        <v>700000</v>
      </c>
      <c r="T76" s="230">
        <v>44389</v>
      </c>
      <c r="U76" s="231">
        <f>T76+(V76*4.3*7)</f>
        <v>44509.4</v>
      </c>
      <c r="V76" s="232">
        <v>4</v>
      </c>
      <c r="W76" s="227"/>
      <c r="X76" s="227"/>
      <c r="Y76" s="225"/>
    </row>
    <row r="77" spans="1:25" s="252" customFormat="1" ht="30" customHeight="1" x14ac:dyDescent="0.25">
      <c r="A77" s="224" t="s">
        <v>280</v>
      </c>
      <c r="B77" s="224" t="s">
        <v>24</v>
      </c>
      <c r="C77" s="225" t="s">
        <v>281</v>
      </c>
      <c r="D77" s="225" t="s">
        <v>282</v>
      </c>
      <c r="E77" s="225"/>
      <c r="F77" s="225"/>
      <c r="G77" s="225" t="s">
        <v>68</v>
      </c>
      <c r="H77" s="225" t="s">
        <v>69</v>
      </c>
      <c r="I77" s="226"/>
      <c r="J77" s="224" t="s">
        <v>237</v>
      </c>
      <c r="K77" s="225" t="s">
        <v>45</v>
      </c>
      <c r="L77" s="224" t="s">
        <v>30</v>
      </c>
      <c r="M77" s="224" t="s">
        <v>24</v>
      </c>
      <c r="N77" s="257" t="s">
        <v>283</v>
      </c>
      <c r="O77" s="227"/>
      <c r="P77" s="257"/>
      <c r="Q77" s="227">
        <v>44193</v>
      </c>
      <c r="R77" s="235"/>
      <c r="S77" s="229">
        <v>700000</v>
      </c>
      <c r="T77" s="227">
        <f>Q77+30</f>
        <v>44223</v>
      </c>
      <c r="U77" s="226">
        <f>T77+(V77*4.3*7)</f>
        <v>44403.6</v>
      </c>
      <c r="V77" s="232">
        <v>6</v>
      </c>
      <c r="W77" s="227"/>
      <c r="X77" s="224"/>
      <c r="Y77" s="225"/>
    </row>
    <row r="78" spans="1:25" s="252" customFormat="1" ht="30" customHeight="1" x14ac:dyDescent="0.25">
      <c r="A78" s="224" t="s">
        <v>284</v>
      </c>
      <c r="B78" s="224" t="s">
        <v>24</v>
      </c>
      <c r="C78" s="225" t="s">
        <v>285</v>
      </c>
      <c r="D78" s="225" t="s">
        <v>286</v>
      </c>
      <c r="E78" s="225"/>
      <c r="F78" s="225"/>
      <c r="G78" s="225" t="s">
        <v>119</v>
      </c>
      <c r="H78" s="225" t="s">
        <v>44</v>
      </c>
      <c r="I78" s="227" t="s">
        <v>235</v>
      </c>
      <c r="J78" s="224" t="s">
        <v>237</v>
      </c>
      <c r="K78" s="225" t="s">
        <v>287</v>
      </c>
      <c r="L78" s="224" t="s">
        <v>59</v>
      </c>
      <c r="M78" s="224" t="s">
        <v>24</v>
      </c>
      <c r="N78" s="224" t="s">
        <v>24</v>
      </c>
      <c r="O78" s="224"/>
      <c r="P78" s="224"/>
      <c r="Q78" s="227" t="s">
        <v>24</v>
      </c>
      <c r="R78" s="235"/>
      <c r="S78" s="229">
        <v>660134</v>
      </c>
      <c r="T78" s="227">
        <v>43983</v>
      </c>
      <c r="U78" s="227">
        <v>44155</v>
      </c>
      <c r="V78" s="232">
        <v>5</v>
      </c>
      <c r="W78" s="227">
        <v>44169</v>
      </c>
      <c r="X78" s="224"/>
      <c r="Y78" s="225"/>
    </row>
    <row r="79" spans="1:25" s="252" customFormat="1" ht="30" customHeight="1" x14ac:dyDescent="0.25">
      <c r="A79" s="224" t="s">
        <v>78</v>
      </c>
      <c r="B79" s="224" t="s">
        <v>75</v>
      </c>
      <c r="C79" s="225" t="s">
        <v>79</v>
      </c>
      <c r="D79" s="225" t="s">
        <v>450</v>
      </c>
      <c r="E79" s="225"/>
      <c r="F79" s="225"/>
      <c r="G79" s="225" t="s">
        <v>68</v>
      </c>
      <c r="H79" s="225" t="s">
        <v>69</v>
      </c>
      <c r="I79" s="227"/>
      <c r="J79" s="224" t="s">
        <v>237</v>
      </c>
      <c r="K79" s="225" t="s">
        <v>80</v>
      </c>
      <c r="L79" s="224" t="s">
        <v>30</v>
      </c>
      <c r="M79" s="227">
        <v>43746</v>
      </c>
      <c r="N79" s="227"/>
      <c r="O79" s="227"/>
      <c r="P79" s="227">
        <v>44039</v>
      </c>
      <c r="Q79" s="230">
        <v>44293</v>
      </c>
      <c r="R79" s="228">
        <f>Q79-P79</f>
        <v>254</v>
      </c>
      <c r="S79" s="233">
        <v>469659</v>
      </c>
      <c r="T79" s="230">
        <v>44389</v>
      </c>
      <c r="U79" s="231">
        <f>T79+(V79*4.3*7)</f>
        <v>44569.599999999999</v>
      </c>
      <c r="V79" s="232">
        <v>6</v>
      </c>
      <c r="W79" s="227"/>
      <c r="X79" s="227"/>
      <c r="Y79" s="225"/>
    </row>
    <row r="80" spans="1:25" s="256" customFormat="1" ht="30" customHeight="1" x14ac:dyDescent="0.25">
      <c r="A80" s="224" t="s">
        <v>288</v>
      </c>
      <c r="B80" s="224" t="s">
        <v>24</v>
      </c>
      <c r="C80" s="225" t="s">
        <v>289</v>
      </c>
      <c r="D80" s="225" t="s">
        <v>290</v>
      </c>
      <c r="E80" s="225"/>
      <c r="F80" s="225"/>
      <c r="G80" s="225" t="s">
        <v>27</v>
      </c>
      <c r="H80" s="225" t="s">
        <v>28</v>
      </c>
      <c r="I80" s="227">
        <v>44397</v>
      </c>
      <c r="J80" s="224" t="s">
        <v>237</v>
      </c>
      <c r="K80" s="225" t="s">
        <v>291</v>
      </c>
      <c r="L80" s="224" t="s">
        <v>30</v>
      </c>
      <c r="M80" s="227" t="s">
        <v>24</v>
      </c>
      <c r="N80" s="227">
        <v>44034</v>
      </c>
      <c r="O80" s="227"/>
      <c r="P80" s="227">
        <v>43973</v>
      </c>
      <c r="Q80" s="227">
        <v>44006</v>
      </c>
      <c r="R80" s="228">
        <f>Q80-P80</f>
        <v>33</v>
      </c>
      <c r="S80" s="233">
        <v>784985</v>
      </c>
      <c r="T80" s="227">
        <v>44048</v>
      </c>
      <c r="U80" s="230">
        <v>44237</v>
      </c>
      <c r="V80" s="232">
        <f t="shared" ref="V80:V85" si="5">(U80-T80)/7/4.3</f>
        <v>6.279069767441861</v>
      </c>
      <c r="W80" s="227"/>
      <c r="X80" s="225"/>
      <c r="Y80" s="225"/>
    </row>
    <row r="81" spans="1:26" s="256" customFormat="1" ht="30" customHeight="1" x14ac:dyDescent="0.25">
      <c r="A81" s="224" t="s">
        <v>292</v>
      </c>
      <c r="B81" s="224" t="s">
        <v>24</v>
      </c>
      <c r="C81" s="225" t="s">
        <v>293</v>
      </c>
      <c r="D81" s="225" t="s">
        <v>294</v>
      </c>
      <c r="E81" s="225"/>
      <c r="F81" s="225"/>
      <c r="G81" s="225" t="s">
        <v>27</v>
      </c>
      <c r="H81" s="225" t="s">
        <v>28</v>
      </c>
      <c r="I81" s="227">
        <v>44397</v>
      </c>
      <c r="J81" s="224" t="s">
        <v>237</v>
      </c>
      <c r="K81" s="225" t="s">
        <v>291</v>
      </c>
      <c r="L81" s="224" t="s">
        <v>30</v>
      </c>
      <c r="M81" s="227" t="s">
        <v>24</v>
      </c>
      <c r="N81" s="227">
        <v>44034</v>
      </c>
      <c r="O81" s="227"/>
      <c r="P81" s="227">
        <v>44041</v>
      </c>
      <c r="Q81" s="227">
        <v>44106</v>
      </c>
      <c r="R81" s="228">
        <f>Q81-P81</f>
        <v>65</v>
      </c>
      <c r="S81" s="233">
        <v>297313</v>
      </c>
      <c r="T81" s="227">
        <v>44102</v>
      </c>
      <c r="U81" s="230">
        <v>44241</v>
      </c>
      <c r="V81" s="232">
        <f t="shared" si="5"/>
        <v>4.6179401993355489</v>
      </c>
      <c r="W81" s="227"/>
      <c r="X81" s="225"/>
      <c r="Y81" s="225"/>
    </row>
    <row r="82" spans="1:26" s="256" customFormat="1" ht="30" customHeight="1" x14ac:dyDescent="0.25">
      <c r="A82" s="224" t="s">
        <v>295</v>
      </c>
      <c r="B82" s="224" t="s">
        <v>24</v>
      </c>
      <c r="C82" s="225" t="s">
        <v>296</v>
      </c>
      <c r="D82" s="225" t="s">
        <v>297</v>
      </c>
      <c r="E82" s="225"/>
      <c r="F82" s="225"/>
      <c r="G82" s="225" t="s">
        <v>27</v>
      </c>
      <c r="H82" s="225" t="s">
        <v>28</v>
      </c>
      <c r="I82" s="227">
        <v>44397</v>
      </c>
      <c r="J82" s="224" t="s">
        <v>237</v>
      </c>
      <c r="K82" s="225" t="s">
        <v>291</v>
      </c>
      <c r="L82" s="224" t="s">
        <v>30</v>
      </c>
      <c r="M82" s="227" t="s">
        <v>24</v>
      </c>
      <c r="N82" s="227">
        <v>44034</v>
      </c>
      <c r="O82" s="227"/>
      <c r="P82" s="227">
        <v>44007</v>
      </c>
      <c r="Q82" s="227">
        <v>44029</v>
      </c>
      <c r="R82" s="228">
        <f>Q82-P82</f>
        <v>22</v>
      </c>
      <c r="S82" s="233">
        <v>222517</v>
      </c>
      <c r="T82" s="227">
        <v>44102</v>
      </c>
      <c r="U82" s="230">
        <v>44237</v>
      </c>
      <c r="V82" s="232">
        <f t="shared" si="5"/>
        <v>4.485049833887043</v>
      </c>
      <c r="W82" s="227"/>
      <c r="X82" s="225"/>
      <c r="Y82" s="225"/>
    </row>
    <row r="83" spans="1:26" s="256" customFormat="1" ht="30" customHeight="1" x14ac:dyDescent="0.25">
      <c r="A83" s="224" t="s">
        <v>55</v>
      </c>
      <c r="B83" s="224" t="s">
        <v>24</v>
      </c>
      <c r="C83" s="225" t="s">
        <v>56</v>
      </c>
      <c r="D83" s="225" t="s">
        <v>57</v>
      </c>
      <c r="E83" s="225"/>
      <c r="F83" s="225"/>
      <c r="G83" s="225" t="s">
        <v>52</v>
      </c>
      <c r="H83" s="225" t="s">
        <v>38</v>
      </c>
      <c r="I83" s="227">
        <v>44390</v>
      </c>
      <c r="J83" s="224" t="s">
        <v>237</v>
      </c>
      <c r="K83" s="225" t="s">
        <v>58</v>
      </c>
      <c r="L83" s="224" t="s">
        <v>59</v>
      </c>
      <c r="M83" s="227" t="s">
        <v>24</v>
      </c>
      <c r="N83" s="227">
        <v>44099</v>
      </c>
      <c r="O83" s="227"/>
      <c r="P83" s="227">
        <v>43998</v>
      </c>
      <c r="Q83" s="227">
        <v>44005</v>
      </c>
      <c r="R83" s="235">
        <f>Q83-P83</f>
        <v>7</v>
      </c>
      <c r="S83" s="233">
        <v>1208821</v>
      </c>
      <c r="T83" s="257">
        <v>44124</v>
      </c>
      <c r="U83" s="258">
        <v>44392</v>
      </c>
      <c r="V83" s="232">
        <f t="shared" si="5"/>
        <v>8.9036544850498345</v>
      </c>
      <c r="W83" s="227"/>
      <c r="X83" s="227"/>
      <c r="Y83" s="225"/>
      <c r="Z83" s="252"/>
    </row>
    <row r="84" spans="1:26" s="256" customFormat="1" ht="30" customHeight="1" x14ac:dyDescent="0.25">
      <c r="A84" s="224" t="s">
        <v>116</v>
      </c>
      <c r="B84" s="224" t="s">
        <v>24</v>
      </c>
      <c r="C84" s="225" t="s">
        <v>117</v>
      </c>
      <c r="D84" s="225" t="s">
        <v>118</v>
      </c>
      <c r="E84" s="225"/>
      <c r="F84" s="225"/>
      <c r="G84" s="225" t="s">
        <v>119</v>
      </c>
      <c r="H84" s="225" t="s">
        <v>44</v>
      </c>
      <c r="I84" s="227">
        <v>44401</v>
      </c>
      <c r="J84" s="224" t="s">
        <v>237</v>
      </c>
      <c r="K84" s="225" t="s">
        <v>120</v>
      </c>
      <c r="L84" s="224" t="s">
        <v>30</v>
      </c>
      <c r="M84" s="227" t="s">
        <v>24</v>
      </c>
      <c r="N84" s="227">
        <v>43971</v>
      </c>
      <c r="O84" s="227" t="s">
        <v>470</v>
      </c>
      <c r="P84" s="227"/>
      <c r="Q84" s="227">
        <v>44062</v>
      </c>
      <c r="R84" s="235"/>
      <c r="S84" s="229">
        <v>950000</v>
      </c>
      <c r="T84" s="227">
        <v>44075</v>
      </c>
      <c r="U84" s="230">
        <v>44286</v>
      </c>
      <c r="V84" s="232">
        <f t="shared" si="5"/>
        <v>7.0099667774086383</v>
      </c>
      <c r="W84" s="227"/>
      <c r="X84" s="227"/>
      <c r="Y84" s="225"/>
      <c r="Z84" s="252"/>
    </row>
    <row r="85" spans="1:26" s="252" customFormat="1" ht="30" customHeight="1" x14ac:dyDescent="0.25">
      <c r="A85" s="224" t="s">
        <v>124</v>
      </c>
      <c r="B85" s="224" t="s">
        <v>24</v>
      </c>
      <c r="C85" s="225" t="s">
        <v>125</v>
      </c>
      <c r="D85" s="225" t="s">
        <v>126</v>
      </c>
      <c r="E85" s="225"/>
      <c r="F85" s="225"/>
      <c r="G85" s="225" t="s">
        <v>119</v>
      </c>
      <c r="H85" s="225" t="s">
        <v>44</v>
      </c>
      <c r="I85" s="227">
        <v>44401</v>
      </c>
      <c r="J85" s="224" t="s">
        <v>237</v>
      </c>
      <c r="K85" s="225" t="s">
        <v>120</v>
      </c>
      <c r="L85" s="224" t="s">
        <v>30</v>
      </c>
      <c r="M85" s="227" t="s">
        <v>24</v>
      </c>
      <c r="N85" s="227">
        <v>43971</v>
      </c>
      <c r="O85" s="227" t="s">
        <v>470</v>
      </c>
      <c r="P85" s="227"/>
      <c r="Q85" s="227">
        <v>44013</v>
      </c>
      <c r="R85" s="235"/>
      <c r="S85" s="229">
        <v>315000</v>
      </c>
      <c r="T85" s="227">
        <v>44136</v>
      </c>
      <c r="U85" s="230">
        <v>44286</v>
      </c>
      <c r="V85" s="232">
        <f t="shared" si="5"/>
        <v>4.9833887043189371</v>
      </c>
      <c r="W85" s="227"/>
      <c r="X85" s="227"/>
      <c r="Y85" s="225"/>
    </row>
    <row r="86" spans="1:26" s="256" customFormat="1" ht="30" customHeight="1" x14ac:dyDescent="0.25">
      <c r="A86" s="224" t="s">
        <v>82</v>
      </c>
      <c r="B86" s="224" t="s">
        <v>75</v>
      </c>
      <c r="C86" s="225" t="s">
        <v>83</v>
      </c>
      <c r="D86" s="225" t="s">
        <v>451</v>
      </c>
      <c r="E86" s="225"/>
      <c r="F86" s="225"/>
      <c r="G86" s="225" t="s">
        <v>68</v>
      </c>
      <c r="H86" s="225" t="s">
        <v>69</v>
      </c>
      <c r="I86" s="227"/>
      <c r="J86" s="224" t="s">
        <v>237</v>
      </c>
      <c r="K86" s="225" t="s">
        <v>39</v>
      </c>
      <c r="L86" s="224" t="s">
        <v>40</v>
      </c>
      <c r="M86" s="227">
        <v>43742</v>
      </c>
      <c r="N86" s="227"/>
      <c r="O86" s="227"/>
      <c r="P86" s="227">
        <v>44107</v>
      </c>
      <c r="Q86" s="227">
        <v>44279</v>
      </c>
      <c r="R86" s="228">
        <f>Q86-P86</f>
        <v>172</v>
      </c>
      <c r="S86" s="233">
        <v>500000</v>
      </c>
      <c r="T86" s="230">
        <v>44389</v>
      </c>
      <c r="U86" s="230">
        <f>T86+(V86*7*4.3)</f>
        <v>44569.599999999999</v>
      </c>
      <c r="V86" s="232">
        <v>6</v>
      </c>
      <c r="W86" s="227"/>
      <c r="X86" s="227"/>
      <c r="Y86" s="225"/>
      <c r="Z86" s="252"/>
    </row>
    <row r="87" spans="1:26" s="252" customFormat="1" ht="30" customHeight="1" x14ac:dyDescent="0.25">
      <c r="A87" s="224" t="s">
        <v>23</v>
      </c>
      <c r="B87" s="224" t="s">
        <v>24</v>
      </c>
      <c r="C87" s="225" t="s">
        <v>25</v>
      </c>
      <c r="D87" s="225" t="s">
        <v>26</v>
      </c>
      <c r="E87" s="225"/>
      <c r="F87" s="225"/>
      <c r="G87" s="225" t="s">
        <v>27</v>
      </c>
      <c r="H87" s="225" t="s">
        <v>28</v>
      </c>
      <c r="I87" s="227">
        <v>44540</v>
      </c>
      <c r="J87" s="224" t="s">
        <v>237</v>
      </c>
      <c r="K87" s="225" t="s">
        <v>29</v>
      </c>
      <c r="L87" s="224" t="s">
        <v>30</v>
      </c>
      <c r="M87" s="227" t="s">
        <v>24</v>
      </c>
      <c r="N87" s="254">
        <v>44099</v>
      </c>
      <c r="O87" s="227" t="s">
        <v>461</v>
      </c>
      <c r="P87" s="254">
        <v>44046</v>
      </c>
      <c r="Q87" s="254">
        <v>44162</v>
      </c>
      <c r="R87" s="255">
        <f>Q87-P87</f>
        <v>116</v>
      </c>
      <c r="S87" s="233">
        <v>1207684</v>
      </c>
      <c r="T87" s="254">
        <v>44144</v>
      </c>
      <c r="U87" s="230">
        <v>44410</v>
      </c>
      <c r="V87" s="232">
        <f>(U87-T87)/7/4.3</f>
        <v>8.8372093023255811</v>
      </c>
      <c r="W87" s="227"/>
      <c r="X87" s="227"/>
      <c r="Y87" s="225"/>
    </row>
    <row r="88" spans="1:26" s="252" customFormat="1" ht="30" customHeight="1" x14ac:dyDescent="0.25">
      <c r="A88" s="224" t="s">
        <v>31</v>
      </c>
      <c r="B88" s="224" t="s">
        <v>24</v>
      </c>
      <c r="C88" s="225" t="s">
        <v>32</v>
      </c>
      <c r="D88" s="225" t="s">
        <v>26</v>
      </c>
      <c r="E88" s="225"/>
      <c r="F88" s="225"/>
      <c r="G88" s="225" t="s">
        <v>27</v>
      </c>
      <c r="H88" s="225" t="s">
        <v>28</v>
      </c>
      <c r="I88" s="227">
        <v>44540</v>
      </c>
      <c r="J88" s="234" t="s">
        <v>46</v>
      </c>
      <c r="K88" s="225" t="s">
        <v>29</v>
      </c>
      <c r="L88" s="224" t="s">
        <v>30</v>
      </c>
      <c r="M88" s="227">
        <v>43941</v>
      </c>
      <c r="N88" s="254">
        <v>44099</v>
      </c>
      <c r="O88" s="227" t="s">
        <v>461</v>
      </c>
      <c r="P88" s="254">
        <v>44049</v>
      </c>
      <c r="Q88" s="254">
        <v>44163</v>
      </c>
      <c r="R88" s="255">
        <f>Q88-P88</f>
        <v>114</v>
      </c>
      <c r="S88" s="233">
        <v>267573</v>
      </c>
      <c r="T88" s="254">
        <v>44144</v>
      </c>
      <c r="U88" s="230">
        <v>44418</v>
      </c>
      <c r="V88" s="232">
        <f>(U88-T88)/7/4.3</f>
        <v>9.1029900332225928</v>
      </c>
      <c r="W88" s="227">
        <v>44418</v>
      </c>
      <c r="X88" s="227"/>
      <c r="Y88" s="253"/>
    </row>
    <row r="89" spans="1:26" s="252" customFormat="1" ht="30" customHeight="1" x14ac:dyDescent="0.25">
      <c r="A89" s="224" t="s">
        <v>33</v>
      </c>
      <c r="B89" s="224" t="s">
        <v>24</v>
      </c>
      <c r="C89" s="225" t="s">
        <v>34</v>
      </c>
      <c r="D89" s="225" t="s">
        <v>26</v>
      </c>
      <c r="E89" s="225"/>
      <c r="F89" s="225"/>
      <c r="G89" s="225" t="s">
        <v>27</v>
      </c>
      <c r="H89" s="225" t="s">
        <v>28</v>
      </c>
      <c r="I89" s="227">
        <v>44540</v>
      </c>
      <c r="J89" s="224" t="s">
        <v>237</v>
      </c>
      <c r="K89" s="225" t="s">
        <v>29</v>
      </c>
      <c r="L89" s="224" t="s">
        <v>30</v>
      </c>
      <c r="M89" s="227" t="s">
        <v>24</v>
      </c>
      <c r="N89" s="254">
        <v>44099</v>
      </c>
      <c r="O89" s="227" t="s">
        <v>461</v>
      </c>
      <c r="P89" s="254">
        <v>44054</v>
      </c>
      <c r="Q89" s="254">
        <v>44163</v>
      </c>
      <c r="R89" s="255">
        <f>Q89-P89</f>
        <v>109</v>
      </c>
      <c r="S89" s="233">
        <v>230170</v>
      </c>
      <c r="T89" s="254">
        <v>44144</v>
      </c>
      <c r="U89" s="230">
        <v>44410</v>
      </c>
      <c r="V89" s="232">
        <f>(U89-T89)/7/4.3</f>
        <v>8.8372093023255811</v>
      </c>
      <c r="W89" s="227"/>
      <c r="X89" s="227"/>
      <c r="Y89" s="225"/>
    </row>
    <row r="90" spans="1:26" s="252" customFormat="1" ht="30" customHeight="1" x14ac:dyDescent="0.25">
      <c r="A90" s="224" t="s">
        <v>298</v>
      </c>
      <c r="B90" s="224" t="s">
        <v>24</v>
      </c>
      <c r="C90" s="225" t="s">
        <v>299</v>
      </c>
      <c r="D90" s="225" t="s">
        <v>26</v>
      </c>
      <c r="E90" s="225"/>
      <c r="F90" s="225"/>
      <c r="G90" s="225" t="s">
        <v>300</v>
      </c>
      <c r="H90" s="225" t="s">
        <v>28</v>
      </c>
      <c r="I90" s="227" t="s">
        <v>301</v>
      </c>
      <c r="J90" s="224" t="s">
        <v>237</v>
      </c>
      <c r="K90" s="225" t="s">
        <v>302</v>
      </c>
      <c r="L90" s="224" t="s">
        <v>303</v>
      </c>
      <c r="M90" s="234">
        <v>44034</v>
      </c>
      <c r="N90" s="227" t="s">
        <v>24</v>
      </c>
      <c r="O90" s="227"/>
      <c r="P90" s="227" t="s">
        <v>24</v>
      </c>
      <c r="Q90" s="227" t="s">
        <v>24</v>
      </c>
      <c r="R90" s="235"/>
      <c r="S90" s="229" t="s">
        <v>24</v>
      </c>
      <c r="T90" s="227" t="s">
        <v>24</v>
      </c>
      <c r="U90" s="227" t="s">
        <v>24</v>
      </c>
      <c r="V90" s="227" t="s">
        <v>24</v>
      </c>
      <c r="W90" s="227" t="s">
        <v>24</v>
      </c>
      <c r="X90" s="227" t="s">
        <v>24</v>
      </c>
      <c r="Y90" s="227" t="s">
        <v>24</v>
      </c>
    </row>
    <row r="91" spans="1:26" s="256" customFormat="1" ht="30" customHeight="1" x14ac:dyDescent="0.25">
      <c r="A91" s="224" t="s">
        <v>304</v>
      </c>
      <c r="B91" s="224" t="s">
        <v>24</v>
      </c>
      <c r="C91" s="225" t="s">
        <v>305</v>
      </c>
      <c r="D91" s="225" t="s">
        <v>282</v>
      </c>
      <c r="E91" s="225"/>
      <c r="F91" s="225"/>
      <c r="G91" s="225" t="s">
        <v>45</v>
      </c>
      <c r="H91" s="225" t="s">
        <v>45</v>
      </c>
      <c r="I91" s="225"/>
      <c r="J91" s="224" t="s">
        <v>237</v>
      </c>
      <c r="K91" s="225" t="s">
        <v>306</v>
      </c>
      <c r="L91" s="224" t="s">
        <v>30</v>
      </c>
      <c r="M91" s="234">
        <v>43783</v>
      </c>
      <c r="N91" s="227" t="s">
        <v>283</v>
      </c>
      <c r="O91" s="227"/>
      <c r="P91" s="227">
        <v>44173</v>
      </c>
      <c r="Q91" s="227">
        <f>P91+14</f>
        <v>44187</v>
      </c>
      <c r="R91" s="228"/>
      <c r="S91" s="229">
        <v>725000</v>
      </c>
      <c r="T91" s="227">
        <f>Q91+30</f>
        <v>44217</v>
      </c>
      <c r="U91" s="227">
        <v>43886</v>
      </c>
      <c r="V91" s="232">
        <v>8</v>
      </c>
      <c r="W91" s="227"/>
      <c r="X91" s="224"/>
      <c r="Y91" s="225"/>
    </row>
    <row r="92" spans="1:26" s="252" customFormat="1" ht="30" customHeight="1" x14ac:dyDescent="0.25">
      <c r="A92" s="224" t="s">
        <v>84</v>
      </c>
      <c r="B92" s="224" t="s">
        <v>75</v>
      </c>
      <c r="C92" s="225" t="s">
        <v>85</v>
      </c>
      <c r="D92" s="225" t="s">
        <v>452</v>
      </c>
      <c r="E92" s="225"/>
      <c r="F92" s="225"/>
      <c r="G92" s="225" t="s">
        <v>68</v>
      </c>
      <c r="H92" s="225" t="s">
        <v>69</v>
      </c>
      <c r="I92" s="227"/>
      <c r="J92" s="224" t="s">
        <v>237</v>
      </c>
      <c r="K92" s="225" t="s">
        <v>86</v>
      </c>
      <c r="L92" s="224" t="s">
        <v>30</v>
      </c>
      <c r="M92" s="227" t="s">
        <v>24</v>
      </c>
      <c r="N92" s="227"/>
      <c r="O92" s="227"/>
      <c r="P92" s="227">
        <v>44138</v>
      </c>
      <c r="Q92" s="230">
        <v>44306</v>
      </c>
      <c r="R92" s="228">
        <f>Q92-P92</f>
        <v>168</v>
      </c>
      <c r="S92" s="233">
        <v>577801</v>
      </c>
      <c r="T92" s="230">
        <v>44389</v>
      </c>
      <c r="U92" s="230">
        <f>T92+(V92*7*4.3)</f>
        <v>44569.599999999999</v>
      </c>
      <c r="V92" s="232">
        <v>6</v>
      </c>
      <c r="W92" s="227"/>
      <c r="X92" s="227"/>
      <c r="Y92" s="225"/>
      <c r="Z92" s="259"/>
    </row>
    <row r="93" spans="1:26" s="252" customFormat="1" ht="30" customHeight="1" x14ac:dyDescent="0.25">
      <c r="A93" s="224" t="s">
        <v>307</v>
      </c>
      <c r="B93" s="224" t="s">
        <v>24</v>
      </c>
      <c r="C93" s="225" t="s">
        <v>308</v>
      </c>
      <c r="D93" s="225" t="s">
        <v>309</v>
      </c>
      <c r="E93" s="225"/>
      <c r="F93" s="225"/>
      <c r="G93" s="225" t="s">
        <v>52</v>
      </c>
      <c r="H93" s="225" t="s">
        <v>310</v>
      </c>
      <c r="I93" s="227">
        <v>44426</v>
      </c>
      <c r="J93" s="224" t="s">
        <v>237</v>
      </c>
      <c r="K93" s="225" t="s">
        <v>311</v>
      </c>
      <c r="L93" s="224" t="s">
        <v>30</v>
      </c>
      <c r="M93" s="234">
        <v>43999</v>
      </c>
      <c r="N93" s="227">
        <v>44046</v>
      </c>
      <c r="O93" s="227"/>
      <c r="P93" s="227"/>
      <c r="Q93" s="227">
        <v>44047</v>
      </c>
      <c r="R93" s="228"/>
      <c r="S93" s="229">
        <v>415686</v>
      </c>
      <c r="T93" s="227">
        <v>44050</v>
      </c>
      <c r="U93" s="227">
        <v>44120</v>
      </c>
      <c r="V93" s="232">
        <f>((U93-T93)/7)/4.3</f>
        <v>2.3255813953488373</v>
      </c>
      <c r="W93" s="227">
        <v>44144</v>
      </c>
      <c r="X93" s="224"/>
      <c r="Y93" s="225"/>
    </row>
    <row r="94" spans="1:26" s="252" customFormat="1" ht="30" customHeight="1" x14ac:dyDescent="0.25">
      <c r="A94" s="224" t="s">
        <v>312</v>
      </c>
      <c r="B94" s="224" t="s">
        <v>24</v>
      </c>
      <c r="C94" s="225" t="s">
        <v>313</v>
      </c>
      <c r="D94" s="225" t="s">
        <v>282</v>
      </c>
      <c r="E94" s="225"/>
      <c r="F94" s="225"/>
      <c r="G94" s="225" t="s">
        <v>45</v>
      </c>
      <c r="H94" s="225" t="s">
        <v>45</v>
      </c>
      <c r="I94" s="225"/>
      <c r="J94" s="224" t="s">
        <v>237</v>
      </c>
      <c r="K94" s="225" t="s">
        <v>184</v>
      </c>
      <c r="L94" s="224" t="s">
        <v>30</v>
      </c>
      <c r="M94" s="224" t="s">
        <v>24</v>
      </c>
      <c r="N94" s="230" t="s">
        <v>283</v>
      </c>
      <c r="O94" s="227"/>
      <c r="P94" s="230" t="s">
        <v>45</v>
      </c>
      <c r="Q94" s="227" t="s">
        <v>45</v>
      </c>
      <c r="R94" s="228"/>
      <c r="S94" s="229"/>
      <c r="T94" s="227" t="s">
        <v>165</v>
      </c>
      <c r="U94" s="227"/>
      <c r="V94" s="232"/>
      <c r="W94" s="227"/>
      <c r="X94" s="224"/>
      <c r="Y94" s="225"/>
    </row>
    <row r="95" spans="1:26" s="252" customFormat="1" ht="30" customHeight="1" x14ac:dyDescent="0.25">
      <c r="A95" s="224" t="s">
        <v>314</v>
      </c>
      <c r="B95" s="224" t="s">
        <v>24</v>
      </c>
      <c r="C95" s="225" t="s">
        <v>315</v>
      </c>
      <c r="D95" s="225" t="s">
        <v>282</v>
      </c>
      <c r="E95" s="225"/>
      <c r="F95" s="225"/>
      <c r="G95" s="225" t="s">
        <v>45</v>
      </c>
      <c r="H95" s="225" t="s">
        <v>45</v>
      </c>
      <c r="I95" s="225"/>
      <c r="J95" s="224" t="s">
        <v>237</v>
      </c>
      <c r="K95" s="225" t="s">
        <v>184</v>
      </c>
      <c r="L95" s="224" t="s">
        <v>30</v>
      </c>
      <c r="M95" s="224" t="s">
        <v>24</v>
      </c>
      <c r="N95" s="230" t="s">
        <v>283</v>
      </c>
      <c r="O95" s="227"/>
      <c r="P95" s="230" t="s">
        <v>45</v>
      </c>
      <c r="Q95" s="227" t="s">
        <v>45</v>
      </c>
      <c r="R95" s="228"/>
      <c r="S95" s="229"/>
      <c r="T95" s="227" t="s">
        <v>165</v>
      </c>
      <c r="U95" s="227"/>
      <c r="V95" s="232"/>
      <c r="W95" s="227"/>
      <c r="X95" s="224"/>
      <c r="Y95" s="225"/>
    </row>
    <row r="96" spans="1:26" s="252" customFormat="1" ht="30" customHeight="1" x14ac:dyDescent="0.25">
      <c r="A96" s="224" t="s">
        <v>316</v>
      </c>
      <c r="B96" s="224" t="s">
        <v>24</v>
      </c>
      <c r="C96" s="225" t="s">
        <v>317</v>
      </c>
      <c r="D96" s="225" t="s">
        <v>318</v>
      </c>
      <c r="E96" s="225"/>
      <c r="F96" s="225"/>
      <c r="G96" s="225" t="s">
        <v>319</v>
      </c>
      <c r="H96" s="225" t="s">
        <v>319</v>
      </c>
      <c r="I96" s="225"/>
      <c r="J96" s="224" t="s">
        <v>237</v>
      </c>
      <c r="K96" s="225" t="s">
        <v>45</v>
      </c>
      <c r="L96" s="224" t="s">
        <v>40</v>
      </c>
      <c r="M96" s="227">
        <v>43782</v>
      </c>
      <c r="N96" s="230" t="s">
        <v>81</v>
      </c>
      <c r="O96" s="230"/>
      <c r="P96" s="224" t="s">
        <v>319</v>
      </c>
      <c r="Q96" s="227" t="s">
        <v>320</v>
      </c>
      <c r="R96" s="230" t="s">
        <v>319</v>
      </c>
      <c r="S96" s="230" t="s">
        <v>319</v>
      </c>
      <c r="T96" s="228" t="s">
        <v>319</v>
      </c>
      <c r="U96" s="228" t="s">
        <v>319</v>
      </c>
      <c r="V96" s="228" t="s">
        <v>319</v>
      </c>
      <c r="W96" s="228" t="s">
        <v>319</v>
      </c>
      <c r="X96" s="228" t="s">
        <v>319</v>
      </c>
      <c r="Y96" s="228" t="s">
        <v>319</v>
      </c>
    </row>
    <row r="97" spans="1:25" s="252" customFormat="1" ht="30" customHeight="1" x14ac:dyDescent="0.25">
      <c r="A97" s="224" t="s">
        <v>321</v>
      </c>
      <c r="B97" s="224" t="s">
        <v>24</v>
      </c>
      <c r="C97" s="225" t="s">
        <v>322</v>
      </c>
      <c r="D97" s="225" t="s">
        <v>323</v>
      </c>
      <c r="E97" s="225"/>
      <c r="F97" s="225"/>
      <c r="G97" s="225" t="s">
        <v>300</v>
      </c>
      <c r="H97" s="260" t="s">
        <v>27</v>
      </c>
      <c r="I97" s="227" t="s">
        <v>301</v>
      </c>
      <c r="J97" s="224" t="s">
        <v>237</v>
      </c>
      <c r="K97" s="225" t="s">
        <v>324</v>
      </c>
      <c r="L97" s="224" t="s">
        <v>30</v>
      </c>
      <c r="M97" s="234" t="s">
        <v>24</v>
      </c>
      <c r="N97" s="234" t="s">
        <v>24</v>
      </c>
      <c r="O97" s="257"/>
      <c r="P97" s="234" t="s">
        <v>24</v>
      </c>
      <c r="Q97" s="234" t="s">
        <v>24</v>
      </c>
      <c r="R97" s="228"/>
      <c r="S97" s="234" t="s">
        <v>24</v>
      </c>
      <c r="T97" s="234" t="s">
        <v>24</v>
      </c>
      <c r="U97" s="234" t="s">
        <v>24</v>
      </c>
      <c r="V97" s="234" t="s">
        <v>24</v>
      </c>
      <c r="W97" s="234" t="s">
        <v>24</v>
      </c>
      <c r="X97" s="234" t="s">
        <v>24</v>
      </c>
      <c r="Y97" s="234" t="s">
        <v>24</v>
      </c>
    </row>
    <row r="98" spans="1:25" s="252" customFormat="1" ht="30" customHeight="1" x14ac:dyDescent="0.25">
      <c r="A98" s="224" t="s">
        <v>41</v>
      </c>
      <c r="B98" s="224" t="s">
        <v>24</v>
      </c>
      <c r="C98" s="225" t="s">
        <v>42</v>
      </c>
      <c r="D98" s="225" t="s">
        <v>43</v>
      </c>
      <c r="E98" s="225"/>
      <c r="F98" s="225"/>
      <c r="G98" s="225" t="s">
        <v>27</v>
      </c>
      <c r="H98" s="225" t="s">
        <v>44</v>
      </c>
      <c r="I98" s="225"/>
      <c r="J98" s="224" t="s">
        <v>237</v>
      </c>
      <c r="K98" s="225" t="s">
        <v>460</v>
      </c>
      <c r="L98" s="224" t="s">
        <v>45</v>
      </c>
      <c r="M98" s="227" t="s">
        <v>24</v>
      </c>
      <c r="N98" s="230" t="s">
        <v>45</v>
      </c>
      <c r="O98" s="230"/>
      <c r="P98" s="227">
        <v>44225</v>
      </c>
      <c r="Q98" s="227">
        <f>P98+35</f>
        <v>44260</v>
      </c>
      <c r="R98" s="228">
        <f>Q98-P98</f>
        <v>35</v>
      </c>
      <c r="S98" s="233">
        <v>723063</v>
      </c>
      <c r="T98" s="230">
        <v>44256</v>
      </c>
      <c r="U98" s="230">
        <v>44393</v>
      </c>
      <c r="V98" s="232">
        <v>5</v>
      </c>
      <c r="W98" s="227"/>
      <c r="X98" s="227"/>
      <c r="Y98" s="225"/>
    </row>
    <row r="99" spans="1:25" s="252" customFormat="1" ht="30" customHeight="1" x14ac:dyDescent="0.25">
      <c r="A99" s="224" t="s">
        <v>102</v>
      </c>
      <c r="B99" s="224" t="s">
        <v>24</v>
      </c>
      <c r="C99" s="225" t="s">
        <v>103</v>
      </c>
      <c r="D99" s="225" t="s">
        <v>104</v>
      </c>
      <c r="E99" s="225"/>
      <c r="F99" s="225"/>
      <c r="G99" s="225" t="s">
        <v>68</v>
      </c>
      <c r="H99" s="225" t="s">
        <v>69</v>
      </c>
      <c r="I99" s="225"/>
      <c r="J99" s="224" t="s">
        <v>237</v>
      </c>
      <c r="K99" s="225" t="s">
        <v>105</v>
      </c>
      <c r="L99" s="224" t="s">
        <v>30</v>
      </c>
      <c r="M99" s="227" t="s">
        <v>24</v>
      </c>
      <c r="N99" s="230">
        <v>44299</v>
      </c>
      <c r="O99" s="230"/>
      <c r="P99" s="230">
        <v>44357</v>
      </c>
      <c r="Q99" s="230" t="s">
        <v>24</v>
      </c>
      <c r="R99" s="230" t="s">
        <v>24</v>
      </c>
      <c r="S99" s="233">
        <v>0</v>
      </c>
      <c r="T99" s="230" t="s">
        <v>24</v>
      </c>
      <c r="U99" s="230" t="s">
        <v>24</v>
      </c>
      <c r="V99" s="270">
        <v>0</v>
      </c>
      <c r="W99" s="230"/>
      <c r="X99" s="230"/>
      <c r="Y99" s="225"/>
    </row>
    <row r="100" spans="1:25" s="252" customFormat="1" ht="30" customHeight="1" x14ac:dyDescent="0.25">
      <c r="A100" s="224" t="s">
        <v>325</v>
      </c>
      <c r="B100" s="224" t="s">
        <v>24</v>
      </c>
      <c r="C100" s="225" t="s">
        <v>326</v>
      </c>
      <c r="D100" s="225" t="s">
        <v>327</v>
      </c>
      <c r="E100" s="225"/>
      <c r="F100" s="225"/>
      <c r="G100" s="225" t="s">
        <v>68</v>
      </c>
      <c r="H100" s="225" t="s">
        <v>69</v>
      </c>
      <c r="I100" s="225"/>
      <c r="J100" s="224" t="s">
        <v>237</v>
      </c>
      <c r="K100" s="225" t="s">
        <v>105</v>
      </c>
      <c r="L100" s="224" t="s">
        <v>30</v>
      </c>
      <c r="M100" s="227" t="s">
        <v>24</v>
      </c>
      <c r="N100" s="230" t="s">
        <v>106</v>
      </c>
      <c r="O100" s="230"/>
      <c r="P100" s="227">
        <v>44187</v>
      </c>
      <c r="Q100" s="227">
        <v>44221</v>
      </c>
      <c r="R100" s="228">
        <f>Q100-P100</f>
        <v>34</v>
      </c>
      <c r="S100" s="233">
        <v>200000</v>
      </c>
      <c r="T100" s="230">
        <f>Q100+30</f>
        <v>44251</v>
      </c>
      <c r="U100" s="227">
        <f>T100+(V100*7*4.3)</f>
        <v>44371.4</v>
      </c>
      <c r="V100" s="232">
        <v>4</v>
      </c>
      <c r="W100" s="227"/>
      <c r="X100" s="224"/>
      <c r="Y100" s="225"/>
    </row>
    <row r="101" spans="1:25" s="252" customFormat="1" ht="30" customHeight="1" x14ac:dyDescent="0.25">
      <c r="A101" s="224" t="s">
        <v>328</v>
      </c>
      <c r="B101" s="224" t="s">
        <v>24</v>
      </c>
      <c r="C101" s="225" t="s">
        <v>329</v>
      </c>
      <c r="D101" s="225" t="s">
        <v>330</v>
      </c>
      <c r="E101" s="225"/>
      <c r="F101" s="225"/>
      <c r="G101" s="225" t="s">
        <v>68</v>
      </c>
      <c r="H101" s="225" t="s">
        <v>69</v>
      </c>
      <c r="I101" s="225"/>
      <c r="J101" s="224" t="s">
        <v>237</v>
      </c>
      <c r="K101" s="225" t="s">
        <v>105</v>
      </c>
      <c r="L101" s="224" t="s">
        <v>30</v>
      </c>
      <c r="M101" s="227" t="s">
        <v>24</v>
      </c>
      <c r="N101" s="230" t="s">
        <v>106</v>
      </c>
      <c r="O101" s="230"/>
      <c r="P101" s="227">
        <v>44187</v>
      </c>
      <c r="Q101" s="227">
        <v>44208</v>
      </c>
      <c r="R101" s="228">
        <f>Q101-P101</f>
        <v>21</v>
      </c>
      <c r="S101" s="233">
        <v>150000</v>
      </c>
      <c r="T101" s="230">
        <f>Q101+30</f>
        <v>44238</v>
      </c>
      <c r="U101" s="227">
        <f>T101+(V101*7*4.3)</f>
        <v>44358.400000000001</v>
      </c>
      <c r="V101" s="232">
        <v>4</v>
      </c>
      <c r="W101" s="227"/>
      <c r="X101" s="224"/>
      <c r="Y101" s="225"/>
    </row>
    <row r="102" spans="1:25" s="252" customFormat="1" ht="30" customHeight="1" x14ac:dyDescent="0.25">
      <c r="A102" s="224" t="s">
        <v>110</v>
      </c>
      <c r="B102" s="224" t="s">
        <v>24</v>
      </c>
      <c r="C102" s="225" t="s">
        <v>111</v>
      </c>
      <c r="D102" s="225" t="s">
        <v>112</v>
      </c>
      <c r="E102" s="225"/>
      <c r="F102" s="225"/>
      <c r="G102" s="225" t="s">
        <v>68</v>
      </c>
      <c r="H102" s="225" t="s">
        <v>69</v>
      </c>
      <c r="I102" s="225"/>
      <c r="J102" s="224" t="s">
        <v>237</v>
      </c>
      <c r="K102" s="225" t="s">
        <v>105</v>
      </c>
      <c r="L102" s="224" t="s">
        <v>30</v>
      </c>
      <c r="M102" s="227" t="s">
        <v>24</v>
      </c>
      <c r="N102" s="230">
        <v>44299</v>
      </c>
      <c r="O102" s="230"/>
      <c r="P102" s="230"/>
      <c r="Q102" s="230" t="s">
        <v>24</v>
      </c>
      <c r="R102" s="230"/>
      <c r="S102" s="233">
        <v>0</v>
      </c>
      <c r="T102" s="230"/>
      <c r="U102" s="230"/>
      <c r="V102" s="270"/>
      <c r="W102" s="230"/>
      <c r="X102" s="230"/>
      <c r="Y102" s="225"/>
    </row>
    <row r="103" spans="1:25" s="252" customFormat="1" ht="30" customHeight="1" x14ac:dyDescent="0.25">
      <c r="A103" s="224" t="s">
        <v>331</v>
      </c>
      <c r="B103" s="224" t="s">
        <v>24</v>
      </c>
      <c r="C103" s="225" t="s">
        <v>332</v>
      </c>
      <c r="D103" s="225" t="s">
        <v>282</v>
      </c>
      <c r="E103" s="225"/>
      <c r="F103" s="225"/>
      <c r="G103" s="225" t="s">
        <v>45</v>
      </c>
      <c r="H103" s="225" t="s">
        <v>45</v>
      </c>
      <c r="I103" s="225"/>
      <c r="J103" s="224" t="s">
        <v>237</v>
      </c>
      <c r="K103" s="225" t="s">
        <v>45</v>
      </c>
      <c r="L103" s="224" t="s">
        <v>30</v>
      </c>
      <c r="M103" s="224" t="s">
        <v>24</v>
      </c>
      <c r="N103" s="230" t="s">
        <v>283</v>
      </c>
      <c r="O103" s="257"/>
      <c r="P103" s="230" t="s">
        <v>165</v>
      </c>
      <c r="Q103" s="227" t="s">
        <v>165</v>
      </c>
      <c r="R103" s="228"/>
      <c r="S103" s="229">
        <v>200000</v>
      </c>
      <c r="T103" s="227" t="s">
        <v>165</v>
      </c>
      <c r="U103" s="227"/>
      <c r="V103" s="232">
        <v>6</v>
      </c>
      <c r="W103" s="227"/>
      <c r="X103" s="224"/>
      <c r="Y103" s="225"/>
    </row>
    <row r="104" spans="1:25" s="252" customFormat="1" ht="30" customHeight="1" x14ac:dyDescent="0.25">
      <c r="A104" s="224" t="s">
        <v>187</v>
      </c>
      <c r="B104" s="224" t="s">
        <v>24</v>
      </c>
      <c r="C104" s="225" t="s">
        <v>188</v>
      </c>
      <c r="D104" s="225" t="s">
        <v>189</v>
      </c>
      <c r="E104" s="225"/>
      <c r="F104" s="225"/>
      <c r="G104" s="225" t="s">
        <v>45</v>
      </c>
      <c r="H104" s="225" t="s">
        <v>45</v>
      </c>
      <c r="I104" s="225"/>
      <c r="J104" s="224" t="s">
        <v>237</v>
      </c>
      <c r="K104" s="225" t="s">
        <v>45</v>
      </c>
      <c r="L104" s="224" t="s">
        <v>30</v>
      </c>
      <c r="M104" s="227">
        <v>43966</v>
      </c>
      <c r="N104" s="230"/>
      <c r="O104" s="230"/>
      <c r="P104" s="230">
        <v>44342</v>
      </c>
      <c r="Q104" s="230">
        <f>P104+48</f>
        <v>44390</v>
      </c>
      <c r="R104" s="228">
        <f>Q104-P104</f>
        <v>48</v>
      </c>
      <c r="S104" s="233" t="s">
        <v>497</v>
      </c>
      <c r="T104" s="230">
        <v>44409</v>
      </c>
      <c r="U104" s="230">
        <f>T104+(V104*7*4.3)</f>
        <v>44649.8</v>
      </c>
      <c r="V104" s="232">
        <v>8</v>
      </c>
      <c r="W104" s="227"/>
      <c r="X104" s="227"/>
      <c r="Y104" s="225"/>
    </row>
    <row r="105" spans="1:25" s="252" customFormat="1" ht="30" customHeight="1" x14ac:dyDescent="0.25">
      <c r="A105" s="224" t="s">
        <v>47</v>
      </c>
      <c r="B105" s="224" t="s">
        <v>24</v>
      </c>
      <c r="C105" s="225" t="s">
        <v>48</v>
      </c>
      <c r="D105" s="225"/>
      <c r="E105" s="225"/>
      <c r="F105" s="225"/>
      <c r="G105" s="225" t="s">
        <v>27</v>
      </c>
      <c r="H105" s="225" t="s">
        <v>38</v>
      </c>
      <c r="I105" s="227"/>
      <c r="J105" s="224" t="s">
        <v>237</v>
      </c>
      <c r="K105" s="227"/>
      <c r="L105" s="254"/>
      <c r="M105" s="254"/>
      <c r="N105" s="234"/>
      <c r="O105" s="254"/>
      <c r="P105" s="254">
        <v>44166</v>
      </c>
      <c r="Q105" s="254">
        <v>44186</v>
      </c>
      <c r="R105" s="235">
        <f>Q105-P105</f>
        <v>20</v>
      </c>
      <c r="S105" s="233">
        <v>59405</v>
      </c>
      <c r="T105" s="254">
        <v>44228</v>
      </c>
      <c r="U105" s="230">
        <v>44286</v>
      </c>
      <c r="V105" s="232">
        <f>(U105-T105)/7/4.3</f>
        <v>1.9269102990033224</v>
      </c>
      <c r="W105" s="227"/>
      <c r="X105" s="227"/>
      <c r="Y105" s="253"/>
    </row>
    <row r="106" spans="1:25" s="252" customFormat="1" ht="30" customHeight="1" x14ac:dyDescent="0.25">
      <c r="A106" s="224" t="s">
        <v>113</v>
      </c>
      <c r="B106" s="224" t="s">
        <v>24</v>
      </c>
      <c r="C106" s="225" t="s">
        <v>114</v>
      </c>
      <c r="D106" s="225" t="s">
        <v>446</v>
      </c>
      <c r="E106" s="225"/>
      <c r="F106" s="225"/>
      <c r="G106" s="225" t="s">
        <v>484</v>
      </c>
      <c r="H106" s="225" t="s">
        <v>38</v>
      </c>
      <c r="I106" s="225"/>
      <c r="J106" s="224" t="s">
        <v>237</v>
      </c>
      <c r="K106" s="225" t="s">
        <v>466</v>
      </c>
      <c r="L106" s="224"/>
      <c r="M106" s="227">
        <v>44209</v>
      </c>
      <c r="N106" s="230"/>
      <c r="O106" s="230"/>
      <c r="P106" s="230" t="s">
        <v>24</v>
      </c>
      <c r="Q106" s="230" t="s">
        <v>24</v>
      </c>
      <c r="R106" s="228">
        <v>0</v>
      </c>
      <c r="S106" s="233">
        <v>53500</v>
      </c>
      <c r="T106" s="230">
        <v>44287</v>
      </c>
      <c r="U106" s="230">
        <v>44347</v>
      </c>
      <c r="V106" s="232">
        <f>(U106-T106)/7/4.3</f>
        <v>1.9933554817275747</v>
      </c>
      <c r="W106" s="227"/>
      <c r="X106" s="227"/>
      <c r="Y106" s="225"/>
    </row>
    <row r="107" spans="1:25" s="252" customFormat="1" ht="30" customHeight="1" x14ac:dyDescent="0.25">
      <c r="A107" s="224" t="s">
        <v>178</v>
      </c>
      <c r="B107" s="224" t="s">
        <v>167</v>
      </c>
      <c r="C107" s="225" t="s">
        <v>179</v>
      </c>
      <c r="D107" s="225" t="s">
        <v>172</v>
      </c>
      <c r="E107" s="225"/>
      <c r="F107" s="225"/>
      <c r="G107" s="225" t="s">
        <v>45</v>
      </c>
      <c r="H107" s="225" t="s">
        <v>44</v>
      </c>
      <c r="I107" s="225"/>
      <c r="J107" s="224" t="s">
        <v>237</v>
      </c>
      <c r="K107" s="225" t="s">
        <v>45</v>
      </c>
      <c r="L107" s="224" t="s">
        <v>30</v>
      </c>
      <c r="M107" s="227" t="s">
        <v>24</v>
      </c>
      <c r="N107" s="230" t="s">
        <v>190</v>
      </c>
      <c r="O107" s="230"/>
      <c r="P107" s="230">
        <v>44354</v>
      </c>
      <c r="Q107" s="230">
        <f>P107+48</f>
        <v>44402</v>
      </c>
      <c r="R107" s="228">
        <f>Q107-P107</f>
        <v>48</v>
      </c>
      <c r="S107" s="233" t="s">
        <v>497</v>
      </c>
      <c r="T107" s="230">
        <v>44318</v>
      </c>
      <c r="U107" s="230"/>
      <c r="V107" s="232"/>
      <c r="W107" s="227"/>
      <c r="X107" s="227"/>
      <c r="Y107" s="225"/>
    </row>
    <row r="108" spans="1:25" s="252" customFormat="1" ht="30" customHeight="1" x14ac:dyDescent="0.25">
      <c r="A108" s="224" t="s">
        <v>197</v>
      </c>
      <c r="B108" s="224" t="s">
        <v>24</v>
      </c>
      <c r="C108" s="225" t="s">
        <v>198</v>
      </c>
      <c r="D108" s="225"/>
      <c r="E108" s="225"/>
      <c r="F108" s="225"/>
      <c r="G108" s="225" t="s">
        <v>45</v>
      </c>
      <c r="H108" s="225" t="s">
        <v>45</v>
      </c>
      <c r="I108" s="225"/>
      <c r="J108" s="224" t="s">
        <v>237</v>
      </c>
      <c r="K108" s="225"/>
      <c r="L108" s="224" t="s">
        <v>30</v>
      </c>
      <c r="M108" s="227"/>
      <c r="N108" s="230"/>
      <c r="O108" s="230"/>
      <c r="P108" s="230"/>
      <c r="Q108" s="230"/>
      <c r="R108" s="228"/>
      <c r="S108" s="233">
        <v>500577</v>
      </c>
      <c r="T108" s="227"/>
      <c r="U108" s="230"/>
      <c r="V108" s="232"/>
      <c r="W108" s="227"/>
      <c r="X108" s="227"/>
      <c r="Y108" s="225"/>
    </row>
    <row r="109" spans="1:25" s="252" customFormat="1" ht="30" customHeight="1" x14ac:dyDescent="0.25">
      <c r="A109" s="224" t="s">
        <v>475</v>
      </c>
      <c r="B109" s="224" t="s">
        <v>24</v>
      </c>
      <c r="C109" s="225" t="s">
        <v>219</v>
      </c>
      <c r="D109" s="225" t="s">
        <v>220</v>
      </c>
      <c r="E109" s="225"/>
      <c r="F109" s="225"/>
      <c r="G109" s="225" t="s">
        <v>68</v>
      </c>
      <c r="H109" s="225" t="s">
        <v>69</v>
      </c>
      <c r="I109" s="225"/>
      <c r="J109" s="224" t="s">
        <v>237</v>
      </c>
      <c r="K109" s="227">
        <v>44237</v>
      </c>
      <c r="L109" s="230"/>
      <c r="M109" s="230"/>
      <c r="N109" s="224"/>
      <c r="O109" s="230"/>
      <c r="P109" s="230"/>
      <c r="Q109" s="228"/>
      <c r="R109" s="233"/>
      <c r="S109" s="227"/>
      <c r="T109" s="230">
        <v>44302</v>
      </c>
      <c r="U109" s="232"/>
      <c r="V109" s="227"/>
      <c r="W109" s="227"/>
      <c r="X109" s="253"/>
      <c r="Y109" s="225"/>
    </row>
    <row r="110" spans="1:25" s="252" customFormat="1" ht="30" customHeight="1" x14ac:dyDescent="0.25">
      <c r="A110" s="224" t="s">
        <v>210</v>
      </c>
      <c r="B110" s="224" t="s">
        <v>24</v>
      </c>
      <c r="C110" s="225" t="s">
        <v>212</v>
      </c>
      <c r="D110" s="225"/>
      <c r="E110" s="225"/>
      <c r="F110" s="225"/>
      <c r="G110" s="225" t="s">
        <v>45</v>
      </c>
      <c r="H110" s="225" t="s">
        <v>45</v>
      </c>
      <c r="I110" s="225"/>
      <c r="J110" s="224" t="s">
        <v>237</v>
      </c>
      <c r="K110" s="227"/>
      <c r="L110" s="230"/>
      <c r="M110" s="230"/>
      <c r="N110" s="224"/>
      <c r="O110" s="230"/>
      <c r="P110" s="230"/>
      <c r="Q110" s="228"/>
      <c r="R110" s="233" t="s">
        <v>165</v>
      </c>
      <c r="S110" s="227"/>
      <c r="T110" s="230"/>
      <c r="U110" s="232"/>
      <c r="V110" s="227"/>
      <c r="W110" s="227"/>
      <c r="X110" s="253"/>
      <c r="Y110" s="225"/>
    </row>
    <row r="111" spans="1:25" s="252" customFormat="1" ht="30" customHeight="1" x14ac:dyDescent="0.25">
      <c r="A111" s="224" t="s">
        <v>210</v>
      </c>
      <c r="B111" s="224" t="s">
        <v>24</v>
      </c>
      <c r="C111" s="225" t="s">
        <v>213</v>
      </c>
      <c r="D111" s="225"/>
      <c r="E111" s="225"/>
      <c r="F111" s="225"/>
      <c r="G111" s="225" t="s">
        <v>45</v>
      </c>
      <c r="H111" s="225" t="s">
        <v>45</v>
      </c>
      <c r="I111" s="225"/>
      <c r="J111" s="224" t="s">
        <v>237</v>
      </c>
      <c r="K111" s="227"/>
      <c r="L111" s="230"/>
      <c r="M111" s="230"/>
      <c r="N111" s="224"/>
      <c r="O111" s="230"/>
      <c r="P111" s="230"/>
      <c r="Q111" s="228"/>
      <c r="R111" s="233" t="s">
        <v>319</v>
      </c>
      <c r="S111" s="233" t="s">
        <v>319</v>
      </c>
      <c r="T111" s="233" t="s">
        <v>319</v>
      </c>
      <c r="U111" s="233" t="s">
        <v>319</v>
      </c>
      <c r="V111" s="233" t="s">
        <v>319</v>
      </c>
      <c r="W111" s="233" t="s">
        <v>319</v>
      </c>
      <c r="X111" s="233" t="s">
        <v>319</v>
      </c>
      <c r="Y111" s="233" t="s">
        <v>319</v>
      </c>
    </row>
    <row r="112" spans="1:25" s="259" customFormat="1" ht="30" customHeight="1" x14ac:dyDescent="0.25">
      <c r="A112" s="224" t="s">
        <v>210</v>
      </c>
      <c r="B112" s="224" t="s">
        <v>24</v>
      </c>
      <c r="C112" s="225" t="s">
        <v>214</v>
      </c>
      <c r="D112" s="225"/>
      <c r="E112" s="225"/>
      <c r="F112" s="225"/>
      <c r="G112" s="225" t="s">
        <v>45</v>
      </c>
      <c r="H112" s="225" t="s">
        <v>45</v>
      </c>
      <c r="I112" s="225"/>
      <c r="J112" s="224" t="s">
        <v>237</v>
      </c>
      <c r="K112" s="227"/>
      <c r="L112" s="230"/>
      <c r="M112" s="230"/>
      <c r="N112" s="224"/>
      <c r="O112" s="230"/>
      <c r="P112" s="230"/>
      <c r="Q112" s="228"/>
      <c r="R112" s="233" t="s">
        <v>319</v>
      </c>
      <c r="S112" s="233" t="s">
        <v>319</v>
      </c>
      <c r="T112" s="233" t="s">
        <v>319</v>
      </c>
      <c r="U112" s="233" t="s">
        <v>319</v>
      </c>
      <c r="V112" s="233" t="s">
        <v>319</v>
      </c>
      <c r="W112" s="233" t="s">
        <v>319</v>
      </c>
      <c r="X112" s="233" t="s">
        <v>319</v>
      </c>
      <c r="Y112" s="233" t="s">
        <v>319</v>
      </c>
    </row>
    <row r="113" spans="1:25" s="256" customFormat="1" ht="30" customHeight="1" x14ac:dyDescent="0.25">
      <c r="A113" s="261" t="s">
        <v>333</v>
      </c>
      <c r="B113" s="224" t="s">
        <v>24</v>
      </c>
      <c r="C113" s="262" t="s">
        <v>334</v>
      </c>
      <c r="D113" s="262" t="s">
        <v>335</v>
      </c>
      <c r="E113" s="262"/>
      <c r="F113" s="262"/>
      <c r="G113" s="262" t="s">
        <v>119</v>
      </c>
      <c r="H113" s="262" t="s">
        <v>132</v>
      </c>
      <c r="I113" s="263">
        <v>44471</v>
      </c>
      <c r="J113" s="224" t="s">
        <v>237</v>
      </c>
      <c r="K113" s="262" t="s">
        <v>336</v>
      </c>
      <c r="L113" s="261" t="s">
        <v>30</v>
      </c>
      <c r="M113" s="261" t="s">
        <v>24</v>
      </c>
      <c r="N113" s="261" t="s">
        <v>24</v>
      </c>
      <c r="O113" s="264"/>
      <c r="P113" s="261"/>
      <c r="Q113" s="263" t="s">
        <v>24</v>
      </c>
      <c r="R113" s="271"/>
      <c r="S113" s="265" t="s">
        <v>24</v>
      </c>
      <c r="T113" s="263" t="s">
        <v>24</v>
      </c>
      <c r="U113" s="263" t="s">
        <v>24</v>
      </c>
      <c r="V113" s="266">
        <v>10</v>
      </c>
      <c r="W113" s="263" t="s">
        <v>237</v>
      </c>
      <c r="X113" s="224"/>
      <c r="Y113" s="225"/>
    </row>
    <row r="114" spans="1:25" s="252" customFormat="1" ht="30" customHeight="1" x14ac:dyDescent="0.25">
      <c r="A114" s="224" t="s">
        <v>337</v>
      </c>
      <c r="B114" s="224" t="s">
        <v>24</v>
      </c>
      <c r="C114" s="225" t="s">
        <v>338</v>
      </c>
      <c r="D114" s="225" t="s">
        <v>339</v>
      </c>
      <c r="E114" s="225"/>
      <c r="F114" s="225"/>
      <c r="G114" s="225" t="s">
        <v>119</v>
      </c>
      <c r="H114" s="225" t="s">
        <v>45</v>
      </c>
      <c r="I114" s="225"/>
      <c r="J114" s="224" t="s">
        <v>237</v>
      </c>
      <c r="K114" s="225" t="s">
        <v>45</v>
      </c>
      <c r="L114" s="224" t="s">
        <v>30</v>
      </c>
      <c r="M114" s="227">
        <v>44027</v>
      </c>
      <c r="N114" s="230">
        <v>44214</v>
      </c>
      <c r="O114" s="230"/>
      <c r="P114" s="230" t="s">
        <v>319</v>
      </c>
      <c r="Q114" s="230" t="s">
        <v>319</v>
      </c>
      <c r="R114" s="228" t="s">
        <v>319</v>
      </c>
      <c r="S114" s="233">
        <v>1500000</v>
      </c>
      <c r="T114" s="230" t="s">
        <v>319</v>
      </c>
      <c r="U114" s="230" t="s">
        <v>319</v>
      </c>
      <c r="V114" s="232">
        <v>8</v>
      </c>
      <c r="W114" s="227"/>
      <c r="X114" s="225"/>
      <c r="Y114" s="225"/>
    </row>
    <row r="115" spans="1:25" s="252" customFormat="1" ht="30" customHeight="1" x14ac:dyDescent="0.25">
      <c r="A115" s="224" t="s">
        <v>340</v>
      </c>
      <c r="B115" s="224" t="s">
        <v>24</v>
      </c>
      <c r="C115" s="225" t="s">
        <v>341</v>
      </c>
      <c r="D115" s="225" t="s">
        <v>339</v>
      </c>
      <c r="E115" s="225"/>
      <c r="F115" s="225"/>
      <c r="G115" s="225" t="s">
        <v>119</v>
      </c>
      <c r="H115" s="225" t="s">
        <v>45</v>
      </c>
      <c r="I115" s="225"/>
      <c r="J115" s="224" t="s">
        <v>237</v>
      </c>
      <c r="K115" s="225" t="s">
        <v>45</v>
      </c>
      <c r="L115" s="224" t="s">
        <v>30</v>
      </c>
      <c r="M115" s="227">
        <v>44027</v>
      </c>
      <c r="N115" s="230">
        <v>44214</v>
      </c>
      <c r="O115" s="230"/>
      <c r="P115" s="230" t="s">
        <v>319</v>
      </c>
      <c r="Q115" s="230" t="s">
        <v>319</v>
      </c>
      <c r="R115" s="228" t="s">
        <v>319</v>
      </c>
      <c r="S115" s="233">
        <v>1500000</v>
      </c>
      <c r="T115" s="230" t="s">
        <v>319</v>
      </c>
      <c r="U115" s="230" t="s">
        <v>319</v>
      </c>
      <c r="V115" s="232">
        <v>8</v>
      </c>
      <c r="W115" s="227"/>
      <c r="X115" s="225"/>
      <c r="Y115" s="225"/>
    </row>
    <row r="116" spans="1:25" s="8" customFormat="1" ht="30" customHeight="1" x14ac:dyDescent="0.25">
      <c r="A116" s="32"/>
      <c r="B116" s="32"/>
      <c r="C116" s="24"/>
      <c r="D116" s="24"/>
      <c r="E116" s="24"/>
      <c r="F116" s="24"/>
      <c r="G116" s="163"/>
      <c r="H116" s="24"/>
      <c r="I116" s="25"/>
      <c r="J116" s="32"/>
      <c r="K116" s="24"/>
      <c r="L116" s="158"/>
      <c r="M116" s="25"/>
      <c r="N116" s="25"/>
      <c r="O116" s="25"/>
      <c r="P116" s="25"/>
      <c r="Q116" s="25"/>
      <c r="R116" s="161"/>
      <c r="S116" s="158"/>
      <c r="T116" s="25"/>
      <c r="U116" s="25"/>
      <c r="V116" s="162"/>
      <c r="W116" s="25"/>
      <c r="X116" s="25"/>
      <c r="Y116" s="160"/>
    </row>
    <row r="117" spans="1:25" s="8" customFormat="1" ht="30" customHeight="1" x14ac:dyDescent="0.25">
      <c r="A117" s="32"/>
      <c r="B117" s="32"/>
      <c r="C117" s="24"/>
      <c r="D117" s="24"/>
      <c r="E117" s="24"/>
      <c r="F117" s="24"/>
      <c r="G117" s="163"/>
      <c r="H117" s="24"/>
      <c r="I117" s="25"/>
      <c r="J117" s="32"/>
      <c r="K117" s="24"/>
      <c r="L117" s="158"/>
      <c r="M117" s="25"/>
      <c r="N117" s="25"/>
      <c r="O117" s="25"/>
      <c r="P117" s="25"/>
      <c r="Q117" s="25"/>
      <c r="R117" s="161"/>
      <c r="S117" s="158"/>
      <c r="T117" s="25"/>
      <c r="U117" s="25"/>
      <c r="V117" s="162"/>
      <c r="W117" s="25"/>
      <c r="X117" s="25"/>
      <c r="Y117" s="160"/>
    </row>
    <row r="118" spans="1:25" s="8" customFormat="1" ht="30" customHeight="1" x14ac:dyDescent="0.25">
      <c r="A118" s="32"/>
      <c r="B118" s="32"/>
      <c r="C118" s="24"/>
      <c r="D118" s="24"/>
      <c r="E118" s="24"/>
      <c r="F118" s="24"/>
      <c r="G118" s="163"/>
      <c r="H118" s="24"/>
      <c r="I118" s="25"/>
      <c r="J118" s="32"/>
      <c r="K118" s="24"/>
      <c r="L118" s="158"/>
      <c r="M118" s="25"/>
      <c r="N118" s="25"/>
      <c r="O118" s="25"/>
      <c r="P118" s="25"/>
      <c r="Q118" s="25"/>
      <c r="R118" s="161"/>
      <c r="S118" s="158"/>
      <c r="T118" s="25"/>
      <c r="U118" s="25"/>
      <c r="V118" s="162"/>
      <c r="W118" s="25"/>
      <c r="X118" s="25"/>
      <c r="Y118" s="160"/>
    </row>
    <row r="119" spans="1:25" s="8" customFormat="1" ht="30" customHeight="1" x14ac:dyDescent="0.25">
      <c r="A119" s="164"/>
      <c r="B119" s="164"/>
      <c r="C119" s="165"/>
      <c r="D119" s="24"/>
      <c r="E119" s="24"/>
      <c r="F119" s="24"/>
      <c r="G119" s="163"/>
      <c r="H119" s="24"/>
      <c r="I119" s="25"/>
      <c r="J119" s="166"/>
      <c r="K119" s="24"/>
      <c r="L119" s="158"/>
      <c r="M119" s="25"/>
      <c r="N119" s="25"/>
      <c r="O119" s="25"/>
      <c r="P119" s="25"/>
      <c r="Q119" s="25"/>
      <c r="R119" s="161"/>
      <c r="S119" s="158"/>
      <c r="T119" s="25"/>
      <c r="U119" s="25"/>
      <c r="V119" s="162"/>
      <c r="W119" s="25"/>
      <c r="X119" s="25"/>
      <c r="Y119" s="160"/>
    </row>
    <row r="120" spans="1:25" s="8" customFormat="1" ht="30" customHeight="1" x14ac:dyDescent="0.25">
      <c r="A120" s="32"/>
      <c r="B120" s="32"/>
      <c r="C120" s="33"/>
      <c r="D120" s="24"/>
      <c r="E120" s="24"/>
      <c r="F120" s="24"/>
      <c r="G120" s="163"/>
      <c r="H120" s="24"/>
      <c r="I120" s="25"/>
      <c r="J120" s="32"/>
      <c r="K120" s="24"/>
      <c r="L120" s="158"/>
      <c r="M120" s="25"/>
      <c r="N120" s="25"/>
      <c r="O120" s="25"/>
      <c r="P120" s="25"/>
      <c r="Q120" s="25"/>
      <c r="R120" s="161"/>
      <c r="S120" s="158"/>
      <c r="T120" s="25"/>
      <c r="U120" s="25"/>
      <c r="V120" s="162"/>
      <c r="W120" s="25"/>
      <c r="X120" s="25"/>
      <c r="Y120" s="160"/>
    </row>
    <row r="121" spans="1:25" s="8" customFormat="1" ht="30" customHeight="1" x14ac:dyDescent="0.25">
      <c r="A121" s="32"/>
      <c r="B121" s="32"/>
      <c r="C121" s="24"/>
      <c r="D121" s="24"/>
      <c r="E121" s="24"/>
      <c r="F121" s="24"/>
      <c r="G121" s="163"/>
      <c r="H121" s="24"/>
      <c r="I121" s="25"/>
      <c r="J121" s="158"/>
      <c r="K121" s="24"/>
      <c r="L121" s="158"/>
      <c r="M121" s="25"/>
      <c r="N121" s="25"/>
      <c r="O121" s="25"/>
      <c r="P121" s="25"/>
      <c r="Q121" s="25"/>
      <c r="R121" s="161"/>
      <c r="S121" s="158"/>
      <c r="T121" s="25"/>
      <c r="U121" s="25"/>
      <c r="V121" s="162"/>
      <c r="W121" s="25"/>
      <c r="X121" s="25"/>
      <c r="Y121" s="160"/>
    </row>
    <row r="122" spans="1:25" s="8" customFormat="1" ht="30" customHeight="1" x14ac:dyDescent="0.25">
      <c r="A122" s="158"/>
      <c r="B122" s="158"/>
      <c r="C122" s="24"/>
      <c r="D122" s="24"/>
      <c r="E122" s="24"/>
      <c r="F122" s="24"/>
      <c r="G122" s="163"/>
      <c r="H122" s="24"/>
      <c r="I122" s="25"/>
      <c r="J122" s="158"/>
      <c r="K122" s="24"/>
      <c r="L122" s="158"/>
      <c r="M122" s="25"/>
      <c r="N122" s="25"/>
      <c r="O122" s="25"/>
      <c r="P122" s="25"/>
      <c r="Q122" s="25"/>
      <c r="R122" s="161"/>
      <c r="S122" s="158"/>
      <c r="T122" s="25"/>
      <c r="U122" s="25"/>
      <c r="V122" s="162"/>
      <c r="W122" s="25"/>
      <c r="X122" s="25"/>
      <c r="Y122" s="160"/>
    </row>
    <row r="123" spans="1:25" s="8" customFormat="1" ht="30" customHeight="1" x14ac:dyDescent="0.25">
      <c r="A123" s="158"/>
      <c r="B123" s="158"/>
      <c r="C123" s="24"/>
      <c r="D123" s="24"/>
      <c r="E123" s="24"/>
      <c r="F123" s="24"/>
      <c r="G123" s="24"/>
      <c r="H123" s="24"/>
      <c r="I123" s="25"/>
      <c r="J123" s="158"/>
      <c r="K123" s="24"/>
      <c r="L123" s="158"/>
      <c r="M123" s="25"/>
      <c r="N123" s="25"/>
      <c r="O123" s="25"/>
      <c r="P123" s="25"/>
      <c r="Q123" s="25"/>
      <c r="R123" s="161"/>
      <c r="S123" s="158"/>
      <c r="T123" s="25"/>
      <c r="U123" s="25"/>
      <c r="V123" s="162"/>
      <c r="W123" s="25"/>
      <c r="X123" s="25"/>
      <c r="Y123" s="160"/>
    </row>
    <row r="124" spans="1:25" s="8" customFormat="1" ht="30" customHeight="1" x14ac:dyDescent="0.25">
      <c r="A124" s="158"/>
      <c r="B124" s="158"/>
      <c r="C124" s="24"/>
      <c r="D124" s="24"/>
      <c r="E124" s="24"/>
      <c r="F124" s="24"/>
      <c r="G124" s="24"/>
      <c r="H124" s="24"/>
      <c r="I124" s="25"/>
      <c r="J124" s="158"/>
      <c r="K124" s="24"/>
      <c r="L124" s="158"/>
      <c r="M124" s="25"/>
      <c r="N124" s="25"/>
      <c r="O124" s="25"/>
      <c r="P124" s="25"/>
      <c r="Q124" s="25"/>
      <c r="R124" s="161"/>
      <c r="S124" s="158"/>
      <c r="T124" s="25"/>
      <c r="U124" s="25"/>
      <c r="V124" s="162"/>
      <c r="W124" s="25"/>
      <c r="X124" s="25"/>
      <c r="Y124" s="160"/>
    </row>
    <row r="125" spans="1:25" s="8" customFormat="1" ht="30" customHeight="1" x14ac:dyDescent="0.25">
      <c r="A125" s="158"/>
      <c r="B125" s="158"/>
      <c r="C125" s="24"/>
      <c r="D125" s="24"/>
      <c r="E125" s="24"/>
      <c r="F125" s="24"/>
      <c r="G125" s="24"/>
      <c r="H125" s="24"/>
      <c r="I125" s="25"/>
      <c r="J125" s="158"/>
      <c r="K125" s="24"/>
      <c r="L125" s="158"/>
      <c r="M125" s="25"/>
      <c r="N125" s="25"/>
      <c r="O125" s="25"/>
      <c r="P125" s="25"/>
      <c r="Q125" s="25"/>
      <c r="R125" s="161"/>
      <c r="S125" s="158"/>
      <c r="T125" s="25"/>
      <c r="U125" s="25"/>
      <c r="V125" s="162"/>
      <c r="W125" s="25"/>
      <c r="X125" s="25"/>
      <c r="Y125" s="160"/>
    </row>
    <row r="126" spans="1:25" s="8" customFormat="1" ht="30" customHeight="1" x14ac:dyDescent="0.25">
      <c r="A126" s="158"/>
      <c r="B126" s="158"/>
      <c r="C126" s="24"/>
      <c r="D126" s="24"/>
      <c r="E126" s="24"/>
      <c r="F126" s="24"/>
      <c r="G126" s="24"/>
      <c r="H126" s="24"/>
      <c r="I126" s="25"/>
      <c r="J126" s="158"/>
      <c r="K126" s="24"/>
      <c r="L126" s="158"/>
      <c r="M126" s="25"/>
      <c r="N126" s="25"/>
      <c r="O126" s="25"/>
      <c r="P126" s="25"/>
      <c r="Q126" s="25"/>
      <c r="R126" s="161"/>
      <c r="S126" s="158"/>
      <c r="T126" s="25"/>
      <c r="U126" s="25"/>
      <c r="V126" s="162"/>
      <c r="W126" s="25"/>
      <c r="X126" s="25"/>
      <c r="Y126" s="160"/>
    </row>
    <row r="127" spans="1:25" s="8" customFormat="1" ht="30" customHeight="1" x14ac:dyDescent="0.25">
      <c r="A127" s="158"/>
      <c r="B127" s="158"/>
      <c r="C127" s="24"/>
      <c r="D127" s="24"/>
      <c r="E127" s="24"/>
      <c r="F127" s="24"/>
      <c r="G127" s="24"/>
      <c r="H127" s="24"/>
      <c r="I127" s="25"/>
      <c r="J127" s="158"/>
      <c r="K127" s="24"/>
      <c r="L127" s="158"/>
      <c r="M127" s="25"/>
      <c r="N127" s="25"/>
      <c r="O127" s="25"/>
      <c r="P127" s="25"/>
      <c r="Q127" s="25"/>
      <c r="R127" s="161"/>
      <c r="S127" s="158"/>
      <c r="T127" s="25"/>
      <c r="U127" s="25"/>
      <c r="V127" s="162"/>
      <c r="W127" s="25"/>
      <c r="X127" s="25"/>
      <c r="Y127" s="160"/>
    </row>
    <row r="128" spans="1:25" s="8" customFormat="1" ht="30" customHeight="1" x14ac:dyDescent="0.25">
      <c r="A128" s="158"/>
      <c r="B128" s="158"/>
      <c r="C128" s="24"/>
      <c r="D128" s="24"/>
      <c r="E128" s="24"/>
      <c r="F128" s="24"/>
      <c r="G128" s="24"/>
      <c r="H128" s="24"/>
      <c r="I128" s="25"/>
      <c r="J128" s="158"/>
      <c r="K128" s="24"/>
      <c r="L128" s="158"/>
      <c r="M128" s="25"/>
      <c r="N128" s="25"/>
      <c r="O128" s="25"/>
      <c r="P128" s="25"/>
      <c r="Q128" s="25"/>
      <c r="R128" s="161"/>
      <c r="S128" s="158"/>
      <c r="T128" s="25"/>
      <c r="U128" s="25"/>
      <c r="V128" s="162"/>
      <c r="W128" s="25"/>
      <c r="X128" s="25"/>
      <c r="Y128" s="160"/>
    </row>
    <row r="129" spans="1:25" s="8" customFormat="1" x14ac:dyDescent="0.25">
      <c r="A129" s="3"/>
      <c r="B129" s="3"/>
      <c r="I129" s="7"/>
      <c r="J129" s="3"/>
      <c r="L129" s="3"/>
      <c r="M129" s="7"/>
      <c r="N129" s="7"/>
      <c r="O129" s="7"/>
      <c r="P129" s="7"/>
      <c r="Q129" s="7"/>
      <c r="R129" s="30"/>
      <c r="S129" s="3"/>
      <c r="T129" s="7"/>
      <c r="U129" s="7"/>
      <c r="V129" s="16"/>
      <c r="W129" s="7"/>
      <c r="X129" s="7"/>
      <c r="Y129" s="120"/>
    </row>
    <row r="130" spans="1:25" s="8" customFormat="1" x14ac:dyDescent="0.25">
      <c r="A130" s="3"/>
      <c r="B130" s="3"/>
      <c r="I130" s="7"/>
      <c r="J130" s="3"/>
      <c r="L130" s="3"/>
      <c r="M130" s="7"/>
      <c r="N130" s="7"/>
      <c r="O130" s="7"/>
      <c r="P130" s="7"/>
      <c r="Q130" s="7"/>
      <c r="R130" s="30"/>
      <c r="S130" s="3"/>
      <c r="T130" s="7"/>
      <c r="U130" s="7"/>
      <c r="V130" s="16"/>
      <c r="W130" s="7"/>
      <c r="X130" s="7"/>
      <c r="Y130" s="120"/>
    </row>
    <row r="131" spans="1:25" s="8" customFormat="1" x14ac:dyDescent="0.25">
      <c r="A131" s="3"/>
      <c r="B131" s="3"/>
      <c r="I131" s="7"/>
      <c r="J131" s="3"/>
      <c r="L131" s="3"/>
      <c r="M131" s="7"/>
      <c r="N131" s="7"/>
      <c r="O131" s="7"/>
      <c r="P131" s="7"/>
      <c r="Q131" s="7"/>
      <c r="R131" s="30"/>
      <c r="S131" s="3"/>
      <c r="T131" s="7"/>
      <c r="U131" s="7"/>
      <c r="V131" s="16"/>
      <c r="W131" s="7"/>
      <c r="X131" s="7"/>
      <c r="Y131" s="120"/>
    </row>
    <row r="132" spans="1:25" s="8" customFormat="1" x14ac:dyDescent="0.25">
      <c r="A132" s="3"/>
      <c r="B132" s="3"/>
      <c r="I132" s="7"/>
      <c r="J132" s="3"/>
      <c r="L132" s="3"/>
      <c r="M132" s="7"/>
      <c r="N132" s="7"/>
      <c r="O132" s="7"/>
      <c r="P132" s="7"/>
      <c r="Q132" s="7"/>
      <c r="R132" s="30"/>
      <c r="S132" s="3"/>
      <c r="T132" s="7"/>
      <c r="U132" s="7"/>
      <c r="V132" s="16"/>
      <c r="W132" s="7"/>
      <c r="X132" s="7"/>
      <c r="Y132" s="120"/>
    </row>
    <row r="133" spans="1:25" s="8" customFormat="1" x14ac:dyDescent="0.25">
      <c r="A133" s="3"/>
      <c r="B133" s="3"/>
      <c r="I133" s="7"/>
      <c r="J133" s="3"/>
      <c r="L133" s="3"/>
      <c r="M133" s="7"/>
      <c r="N133" s="7"/>
      <c r="O133" s="7"/>
      <c r="P133" s="7"/>
      <c r="Q133" s="7"/>
      <c r="R133" s="30"/>
      <c r="S133" s="3"/>
      <c r="T133" s="7"/>
      <c r="U133" s="7"/>
      <c r="V133" s="16"/>
      <c r="W133" s="7"/>
      <c r="X133" s="7"/>
      <c r="Y133" s="120"/>
    </row>
    <row r="134" spans="1:25" s="8" customFormat="1" x14ac:dyDescent="0.25">
      <c r="A134" s="3"/>
      <c r="B134" s="3"/>
      <c r="I134" s="7"/>
      <c r="J134" s="3"/>
      <c r="L134" s="3"/>
      <c r="M134" s="7"/>
      <c r="N134" s="7"/>
      <c r="O134" s="7"/>
      <c r="P134" s="7"/>
      <c r="Q134" s="7"/>
      <c r="R134" s="30"/>
      <c r="S134" s="3"/>
      <c r="T134" s="7"/>
      <c r="U134" s="7"/>
      <c r="V134" s="16"/>
      <c r="W134" s="7"/>
      <c r="X134" s="7"/>
      <c r="Y134" s="120"/>
    </row>
    <row r="135" spans="1:25" s="8" customFormat="1" x14ac:dyDescent="0.25">
      <c r="A135" s="3"/>
      <c r="B135" s="3"/>
      <c r="I135" s="7"/>
      <c r="J135" s="3"/>
      <c r="L135" s="3"/>
      <c r="M135" s="7"/>
      <c r="N135" s="7"/>
      <c r="O135" s="7"/>
      <c r="P135" s="7"/>
      <c r="Q135" s="7"/>
      <c r="R135" s="30"/>
      <c r="S135" s="3"/>
      <c r="T135" s="7"/>
      <c r="U135" s="7"/>
      <c r="V135" s="16"/>
      <c r="W135" s="7"/>
      <c r="X135" s="7"/>
      <c r="Y135" s="120"/>
    </row>
    <row r="136" spans="1:25" s="8" customFormat="1" x14ac:dyDescent="0.25">
      <c r="A136" s="3"/>
      <c r="B136" s="3"/>
      <c r="I136" s="7"/>
      <c r="J136" s="3"/>
      <c r="L136" s="3"/>
      <c r="M136" s="7"/>
      <c r="N136" s="7"/>
      <c r="O136" s="7"/>
      <c r="P136" s="7"/>
      <c r="Q136" s="7"/>
      <c r="R136" s="30"/>
      <c r="S136" s="3"/>
      <c r="T136" s="7"/>
      <c r="U136" s="7"/>
      <c r="V136" s="16"/>
      <c r="W136" s="7"/>
      <c r="X136" s="7"/>
      <c r="Y136" s="120"/>
    </row>
    <row r="137" spans="1:25" s="8" customFormat="1" x14ac:dyDescent="0.25">
      <c r="A137" s="3"/>
      <c r="B137" s="3"/>
      <c r="I137" s="7"/>
      <c r="J137" s="3"/>
      <c r="L137" s="3"/>
      <c r="M137" s="7"/>
      <c r="N137" s="7"/>
      <c r="O137" s="7"/>
      <c r="P137" s="7"/>
      <c r="Q137" s="7"/>
      <c r="R137" s="30"/>
      <c r="S137" s="3"/>
      <c r="T137" s="7"/>
      <c r="U137" s="7"/>
      <c r="V137" s="16"/>
      <c r="W137" s="7"/>
      <c r="X137" s="7"/>
      <c r="Y137" s="120"/>
    </row>
    <row r="138" spans="1:25" s="8" customFormat="1" x14ac:dyDescent="0.25">
      <c r="A138" s="3"/>
      <c r="B138" s="3"/>
      <c r="I138" s="7"/>
      <c r="J138" s="3"/>
      <c r="L138" s="3"/>
      <c r="M138" s="7"/>
      <c r="N138" s="7"/>
      <c r="O138" s="7"/>
      <c r="P138" s="7"/>
      <c r="Q138" s="7"/>
      <c r="R138" s="30"/>
      <c r="S138" s="3"/>
      <c r="T138" s="7"/>
      <c r="U138" s="7"/>
      <c r="V138" s="16"/>
      <c r="W138" s="7"/>
      <c r="X138" s="7"/>
      <c r="Y138" s="120"/>
    </row>
    <row r="139" spans="1:25" s="8" customFormat="1" x14ac:dyDescent="0.25">
      <c r="A139" s="3"/>
      <c r="B139" s="3"/>
      <c r="I139" s="7"/>
      <c r="J139" s="3"/>
      <c r="L139" s="3"/>
      <c r="M139" s="7"/>
      <c r="N139" s="7"/>
      <c r="O139" s="7"/>
      <c r="P139" s="7"/>
      <c r="Q139" s="7"/>
      <c r="R139" s="30"/>
      <c r="S139" s="3"/>
      <c r="T139" s="7"/>
      <c r="U139" s="7"/>
      <c r="V139" s="16"/>
      <c r="W139" s="7"/>
      <c r="X139" s="7"/>
      <c r="Y139" s="120"/>
    </row>
    <row r="140" spans="1:25" s="8" customFormat="1" x14ac:dyDescent="0.25">
      <c r="A140" s="3"/>
      <c r="B140" s="3"/>
      <c r="I140" s="7"/>
      <c r="J140" s="3"/>
      <c r="L140" s="3"/>
      <c r="M140" s="7"/>
      <c r="N140" s="7"/>
      <c r="O140" s="7"/>
      <c r="P140" s="7"/>
      <c r="Q140" s="7"/>
      <c r="R140" s="30"/>
      <c r="S140" s="3"/>
      <c r="T140" s="7"/>
      <c r="U140" s="7"/>
      <c r="V140" s="16"/>
      <c r="W140" s="7"/>
      <c r="X140" s="7"/>
      <c r="Y140" s="120"/>
    </row>
    <row r="141" spans="1:25" s="8" customFormat="1" x14ac:dyDescent="0.25">
      <c r="A141" s="3"/>
      <c r="B141" s="3"/>
      <c r="I141" s="7"/>
      <c r="J141" s="3"/>
      <c r="L141" s="3"/>
      <c r="M141" s="7"/>
      <c r="N141" s="7"/>
      <c r="O141" s="7"/>
      <c r="P141" s="7"/>
      <c r="Q141" s="7"/>
      <c r="R141" s="30"/>
      <c r="S141" s="3"/>
      <c r="T141" s="7"/>
      <c r="U141" s="7"/>
      <c r="V141" s="16"/>
      <c r="W141" s="7"/>
      <c r="X141" s="7"/>
      <c r="Y141" s="120"/>
    </row>
    <row r="142" spans="1:25" s="8" customFormat="1" x14ac:dyDescent="0.25">
      <c r="A142" s="3"/>
      <c r="B142" s="3"/>
      <c r="I142" s="7"/>
      <c r="J142" s="3"/>
      <c r="L142" s="3"/>
      <c r="M142" s="7"/>
      <c r="N142" s="7"/>
      <c r="O142" s="7"/>
      <c r="P142" s="7"/>
      <c r="Q142" s="7"/>
      <c r="R142" s="30"/>
      <c r="S142" s="3"/>
      <c r="T142" s="7"/>
      <c r="U142" s="7"/>
      <c r="V142" s="16"/>
      <c r="W142" s="7"/>
      <c r="X142" s="7"/>
      <c r="Y142" s="120"/>
    </row>
    <row r="143" spans="1:25" s="8" customFormat="1" x14ac:dyDescent="0.25">
      <c r="A143" s="3"/>
      <c r="B143" s="3"/>
      <c r="I143" s="7"/>
      <c r="J143" s="3"/>
      <c r="L143" s="3"/>
      <c r="M143" s="7"/>
      <c r="N143" s="7"/>
      <c r="O143" s="7"/>
      <c r="P143" s="7"/>
      <c r="Q143" s="7"/>
      <c r="R143" s="30"/>
      <c r="S143" s="3"/>
      <c r="T143" s="7"/>
      <c r="U143" s="7"/>
      <c r="V143" s="16"/>
      <c r="W143" s="7"/>
      <c r="X143" s="7"/>
      <c r="Y143" s="120"/>
    </row>
    <row r="144" spans="1:25" s="8" customFormat="1" x14ac:dyDescent="0.25">
      <c r="A144" s="3"/>
      <c r="B144" s="3"/>
      <c r="I144" s="7"/>
      <c r="J144" s="3"/>
      <c r="L144" s="3"/>
      <c r="M144" s="7"/>
      <c r="N144" s="7"/>
      <c r="O144" s="7"/>
      <c r="P144" s="7"/>
      <c r="Q144" s="7"/>
      <c r="R144" s="30"/>
      <c r="S144" s="3"/>
      <c r="T144" s="7"/>
      <c r="U144" s="7"/>
      <c r="V144" s="16"/>
      <c r="W144" s="7"/>
      <c r="X144" s="7"/>
      <c r="Y144" s="120"/>
    </row>
    <row r="145" spans="1:25" s="8" customFormat="1" x14ac:dyDescent="0.25">
      <c r="A145" s="3"/>
      <c r="B145" s="3"/>
      <c r="I145" s="7"/>
      <c r="J145" s="3"/>
      <c r="L145" s="3"/>
      <c r="M145" s="7"/>
      <c r="N145" s="7"/>
      <c r="O145" s="7"/>
      <c r="P145" s="7"/>
      <c r="Q145" s="7"/>
      <c r="R145" s="30"/>
      <c r="S145" s="3"/>
      <c r="T145" s="7"/>
      <c r="U145" s="7"/>
      <c r="V145" s="16"/>
      <c r="W145" s="7"/>
      <c r="X145" s="7"/>
      <c r="Y145" s="120"/>
    </row>
    <row r="146" spans="1:25" s="8" customFormat="1" x14ac:dyDescent="0.25">
      <c r="A146" s="3"/>
      <c r="B146" s="3"/>
      <c r="I146" s="7"/>
      <c r="J146" s="3"/>
      <c r="L146" s="3"/>
      <c r="M146" s="7"/>
      <c r="N146" s="7"/>
      <c r="O146" s="7"/>
      <c r="P146" s="7"/>
      <c r="Q146" s="7"/>
      <c r="R146" s="30"/>
      <c r="S146" s="3"/>
      <c r="T146" s="7"/>
      <c r="U146" s="7"/>
      <c r="V146" s="16"/>
      <c r="W146" s="7"/>
      <c r="X146" s="7"/>
      <c r="Y146" s="120"/>
    </row>
    <row r="147" spans="1:25" s="8" customFormat="1" x14ac:dyDescent="0.25">
      <c r="A147" s="3"/>
      <c r="B147" s="3"/>
      <c r="I147" s="7"/>
      <c r="J147" s="3"/>
      <c r="L147" s="3"/>
      <c r="M147" s="7"/>
      <c r="N147" s="7"/>
      <c r="O147" s="7"/>
      <c r="P147" s="7"/>
      <c r="Q147" s="7"/>
      <c r="R147" s="30"/>
      <c r="S147" s="3"/>
      <c r="T147" s="7"/>
      <c r="U147" s="7"/>
      <c r="V147" s="16"/>
      <c r="W147" s="7"/>
      <c r="X147" s="7"/>
      <c r="Y147" s="120"/>
    </row>
    <row r="148" spans="1:25" s="8" customFormat="1" x14ac:dyDescent="0.25">
      <c r="A148" s="3"/>
      <c r="B148" s="3"/>
      <c r="I148" s="7"/>
      <c r="J148" s="3"/>
      <c r="L148" s="3"/>
      <c r="M148" s="7"/>
      <c r="N148" s="7"/>
      <c r="O148" s="7"/>
      <c r="P148" s="7"/>
      <c r="Q148" s="7"/>
      <c r="R148" s="30"/>
      <c r="S148" s="3"/>
      <c r="T148" s="7"/>
      <c r="U148" s="7"/>
      <c r="V148" s="16"/>
      <c r="W148" s="7"/>
      <c r="X148" s="7"/>
      <c r="Y148" s="120"/>
    </row>
    <row r="149" spans="1:25" s="8" customFormat="1" x14ac:dyDescent="0.25">
      <c r="A149" s="3"/>
      <c r="B149" s="3"/>
      <c r="I149" s="7"/>
      <c r="J149" s="3"/>
      <c r="L149" s="3"/>
      <c r="M149" s="7"/>
      <c r="N149" s="7"/>
      <c r="O149" s="7"/>
      <c r="P149" s="7"/>
      <c r="Q149" s="7"/>
      <c r="R149" s="30"/>
      <c r="S149" s="3"/>
      <c r="T149" s="7"/>
      <c r="U149" s="7"/>
      <c r="V149" s="16"/>
      <c r="W149" s="7"/>
      <c r="X149" s="7"/>
      <c r="Y149" s="120"/>
    </row>
    <row r="150" spans="1:25" s="8" customFormat="1" x14ac:dyDescent="0.25">
      <c r="A150" s="3"/>
      <c r="B150" s="3"/>
      <c r="I150" s="7"/>
      <c r="J150" s="3"/>
      <c r="L150" s="3"/>
      <c r="M150" s="7"/>
      <c r="N150" s="7"/>
      <c r="O150" s="7"/>
      <c r="P150" s="7"/>
      <c r="Q150" s="7"/>
      <c r="R150" s="30"/>
      <c r="S150" s="3"/>
      <c r="T150" s="7"/>
      <c r="U150" s="7"/>
      <c r="V150" s="16"/>
      <c r="W150" s="7"/>
      <c r="X150" s="7"/>
      <c r="Y150" s="120"/>
    </row>
    <row r="151" spans="1:25" s="8" customFormat="1" x14ac:dyDescent="0.25">
      <c r="A151" s="3"/>
      <c r="B151" s="3"/>
      <c r="I151" s="7"/>
      <c r="J151" s="3"/>
      <c r="L151" s="3"/>
      <c r="M151" s="7"/>
      <c r="N151" s="7"/>
      <c r="O151" s="7"/>
      <c r="P151" s="7"/>
      <c r="Q151" s="7"/>
      <c r="R151" s="30"/>
      <c r="S151" s="3"/>
      <c r="T151" s="7"/>
      <c r="U151" s="7"/>
      <c r="V151" s="16"/>
      <c r="W151" s="7"/>
      <c r="X151" s="7"/>
      <c r="Y151" s="120"/>
    </row>
    <row r="152" spans="1:25" s="8" customFormat="1" x14ac:dyDescent="0.25">
      <c r="A152" s="3"/>
      <c r="B152" s="3"/>
      <c r="I152" s="7"/>
      <c r="J152" s="3"/>
      <c r="L152" s="3"/>
      <c r="M152" s="7"/>
      <c r="N152" s="7"/>
      <c r="O152" s="7"/>
      <c r="P152" s="7"/>
      <c r="Q152" s="7"/>
      <c r="R152" s="30"/>
      <c r="S152" s="3"/>
      <c r="T152" s="7"/>
      <c r="U152" s="7"/>
      <c r="V152" s="16"/>
      <c r="W152" s="7"/>
      <c r="X152" s="7"/>
      <c r="Y152" s="120"/>
    </row>
    <row r="153" spans="1:25" s="8" customFormat="1" x14ac:dyDescent="0.25">
      <c r="A153" s="3"/>
      <c r="B153" s="3"/>
      <c r="I153" s="7"/>
      <c r="J153" s="3"/>
      <c r="L153" s="3"/>
      <c r="M153" s="7"/>
      <c r="N153" s="7"/>
      <c r="O153" s="7"/>
      <c r="P153" s="7"/>
      <c r="Q153" s="7"/>
      <c r="R153" s="30"/>
      <c r="S153" s="3"/>
      <c r="T153" s="7"/>
      <c r="U153" s="7"/>
      <c r="V153" s="16"/>
      <c r="W153" s="7"/>
      <c r="X153" s="7"/>
      <c r="Y153" s="120"/>
    </row>
    <row r="154" spans="1:25" s="8" customFormat="1" x14ac:dyDescent="0.25">
      <c r="A154" s="3"/>
      <c r="B154" s="3"/>
      <c r="I154" s="7"/>
      <c r="J154" s="3"/>
      <c r="L154" s="3"/>
      <c r="M154" s="7"/>
      <c r="N154" s="7"/>
      <c r="O154" s="7"/>
      <c r="P154" s="7"/>
      <c r="Q154" s="7"/>
      <c r="R154" s="30"/>
      <c r="S154" s="3"/>
      <c r="T154" s="7"/>
      <c r="U154" s="7"/>
      <c r="V154" s="16"/>
      <c r="W154" s="7"/>
      <c r="X154" s="7"/>
      <c r="Y154" s="120"/>
    </row>
  </sheetData>
  <protectedRanges>
    <protectedRange algorithmName="SHA-512" hashValue="7kKMQlnDQnaF2pWl7cOum7Q4v5K+/RuncQjNwOX/9VMC6IpRzPVvdGKHyOugwdH0ncs0E84+2rLp7ry6I8ErdA==" saltValue="jtLfJTgX02XzBGTPnDDc1A==" spinCount="100000" sqref="A1:F2 I5:I58 I1:I2 A5:F58 I116:I1048576 A116:F1048576" name="Peggy"/>
    <protectedRange algorithmName="SHA-512" hashValue="U0r4TXnKvYy8LpCO02xDi2Ktqz0sLAPxksvEp/aJ7aDj8yk6m5na5nx8tpbjoMFEeEdg7m5p3fjMOhnQLi94+g==" saltValue="01/JRdOYVXgVplNuv7lxPg==" spinCount="100000" sqref="K1:O2 K5:O58 K116:O1048576" name="Jenna"/>
    <protectedRange algorithmName="SHA-512" hashValue="renPhEOnsaaHG8kCd4o3+Lfgeeea5ZiM4bGoEdebpQaVzFAyxnpevc2NLrNuZsKUEAOoYuAoeRZ6bxm5eN7niw==" saltValue="JD+mjzHXxZWNPSY+A5Qb0g==" spinCount="100000" sqref="S1:S2 S5:S58 S116:S1048576" name="Trevor"/>
    <protectedRange algorithmName="SHA-512" hashValue="p1zaDFJkdjN+AnmfzFBjbFKRbWYOQQg+cT1DzqDhOzloqO83qQsI/t5kPN30lmEEP3guKkM4uc2fEPeaztRBYA==" saltValue="+Rl2QHA+Wv31lMWEuJdOoQ==" spinCount="100000" sqref="P1:R2 P5:R58 P116:R1048576 G34:H34" name="Nolan"/>
    <protectedRange algorithmName="SHA-512" hashValue="p1zaDFJkdjN+AnmfzFBjbFKRbWYOQQg+cT1DzqDhOzloqO83qQsI/t5kPN30lmEEP3guKkM4uc2fEPeaztRBYA==" saltValue="+Rl2QHA+Wv31lMWEuJdOoQ==" spinCount="100000" sqref="Q85:S85" name="Nolan_1"/>
    <protectedRange algorithmName="SHA-512" hashValue="7kKMQlnDQnaF2pWl7cOum7Q4v5K+/RuncQjNwOX/9VMC6IpRzPVvdGKHyOugwdH0ncs0E84+2rLp7ry6I8ErdA==" saltValue="jtLfJTgX02XzBGTPnDDc1A==" spinCount="100000" sqref="A114 I114 C114:F114" name="Peggy_1"/>
    <protectedRange algorithmName="SHA-512" hashValue="U0r4TXnKvYy8LpCO02xDi2Ktqz0sLAPxksvEp/aJ7aDj8yk6m5na5nx8tpbjoMFEeEdg7m5p3fjMOhnQLi94+g==" saltValue="01/JRdOYVXgVplNuv7lxPg==" spinCount="100000" sqref="K114:O114" name="Jenna_1"/>
    <protectedRange algorithmName="SHA-512" hashValue="renPhEOnsaaHG8kCd4o3+Lfgeeea5ZiM4bGoEdebpQaVzFAyxnpevc2NLrNuZsKUEAOoYuAoeRZ6bxm5eN7niw==" saltValue="JD+mjzHXxZWNPSY+A5Qb0g==" spinCount="100000" sqref="S114" name="Trevor_1"/>
    <protectedRange algorithmName="SHA-512" hashValue="p1zaDFJkdjN+AnmfzFBjbFKRbWYOQQg+cT1DzqDhOzloqO83qQsI/t5kPN30lmEEP3guKkM4uc2fEPeaztRBYA==" saltValue="+Rl2QHA+Wv31lMWEuJdOoQ==" spinCount="100000" sqref="P114:R114" name="Nolan_1_1"/>
    <protectedRange algorithmName="SHA-512" hashValue="7kKMQlnDQnaF2pWl7cOum7Q4v5K+/RuncQjNwOX/9VMC6IpRzPVvdGKHyOugwdH0ncs0E84+2rLp7ry6I8ErdA==" saltValue="jtLfJTgX02XzBGTPnDDc1A==" spinCount="100000" sqref="A115 I115 C115:F115" name="Peggy_2"/>
    <protectedRange algorithmName="SHA-512" hashValue="U0r4TXnKvYy8LpCO02xDi2Ktqz0sLAPxksvEp/aJ7aDj8yk6m5na5nx8tpbjoMFEeEdg7m5p3fjMOhnQLi94+g==" saltValue="01/JRdOYVXgVplNuv7lxPg==" spinCount="100000" sqref="K115:O115" name="Jenna_2"/>
    <protectedRange algorithmName="SHA-512" hashValue="renPhEOnsaaHG8kCd4o3+Lfgeeea5ZiM4bGoEdebpQaVzFAyxnpevc2NLrNuZsKUEAOoYuAoeRZ6bxm5eN7niw==" saltValue="JD+mjzHXxZWNPSY+A5Qb0g==" spinCount="100000" sqref="S115" name="Trevor_2"/>
    <protectedRange algorithmName="SHA-512" hashValue="p1zaDFJkdjN+AnmfzFBjbFKRbWYOQQg+cT1DzqDhOzloqO83qQsI/t5kPN30lmEEP3guKkM4uc2fEPeaztRBYA==" saltValue="+Rl2QHA+Wv31lMWEuJdOoQ==" spinCount="100000" sqref="P115:R115" name="Nolan_2"/>
    <protectedRange algorithmName="SHA-512" hashValue="7kKMQlnDQnaF2pWl7cOum7Q4v5K+/RuncQjNwOX/9VMC6IpRzPVvdGKHyOugwdH0ncs0E84+2rLp7ry6I8ErdA==" saltValue="jtLfJTgX02XzBGTPnDDc1A==" spinCount="100000" sqref="I75:I77 A76:F77 A75 C75:F75" name="Peggy_3"/>
    <protectedRange algorithmName="SHA-512" hashValue="U0r4TXnKvYy8LpCO02xDi2Ktqz0sLAPxksvEp/aJ7aDj8yk6m5na5nx8tpbjoMFEeEdg7m5p3fjMOhnQLi94+g==" saltValue="01/JRdOYVXgVplNuv7lxPg==" spinCount="100000" sqref="K75:O76 K77:M77" name="Jenna_3"/>
    <protectedRange algorithmName="SHA-512" hashValue="renPhEOnsaaHG8kCd4o3+Lfgeeea5ZiM4bGoEdebpQaVzFAyxnpevc2NLrNuZsKUEAOoYuAoeRZ6bxm5eN7niw==" saltValue="JD+mjzHXxZWNPSY+A5Qb0g==" spinCount="100000" sqref="T75:T76 S77" name="Trevor_3"/>
    <protectedRange algorithmName="SHA-512" hashValue="p1zaDFJkdjN+AnmfzFBjbFKRbWYOQQg+cT1DzqDhOzloqO83qQsI/t5kPN30lmEEP3guKkM4uc2fEPeaztRBYA==" saltValue="+Rl2QHA+Wv31lMWEuJdOoQ==" spinCount="100000" sqref="Q75:S76 P77:R77" name="Nolan_3"/>
    <protectedRange algorithmName="SHA-512" hashValue="7kKMQlnDQnaF2pWl7cOum7Q4v5K+/RuncQjNwOX/9VMC6IpRzPVvdGKHyOugwdH0ncs0E84+2rLp7ry6I8ErdA==" saltValue="jtLfJTgX02XzBGTPnDDc1A==" spinCount="100000" sqref="I70 A70 C70:F70" name="Peggy_5"/>
    <protectedRange algorithmName="SHA-512" hashValue="U0r4TXnKvYy8LpCO02xDi2Ktqz0sLAPxksvEp/aJ7aDj8yk6m5na5nx8tpbjoMFEeEdg7m5p3fjMOhnQLi94+g==" saltValue="01/JRdOYVXgVplNuv7lxPg==" spinCount="100000" sqref="K70:M70" name="Jenna_5"/>
    <protectedRange algorithmName="SHA-512" hashValue="renPhEOnsaaHG8kCd4o3+Lfgeeea5ZiM4bGoEdebpQaVzFAyxnpevc2NLrNuZsKUEAOoYuAoeRZ6bxm5eN7niw==" saltValue="JD+mjzHXxZWNPSY+A5Qb0g==" spinCount="100000" sqref="R70" name="Trevor_5"/>
    <protectedRange algorithmName="SHA-512" hashValue="p1zaDFJkdjN+AnmfzFBjbFKRbWYOQQg+cT1DzqDhOzloqO83qQsI/t5kPN30lmEEP3guKkM4uc2fEPeaztRBYA==" saltValue="+Rl2QHA+Wv31lMWEuJdOoQ==" spinCount="100000" sqref="O70:Q70" name="Nolan_5"/>
    <protectedRange algorithmName="SHA-512" hashValue="7kKMQlnDQnaF2pWl7cOum7Q4v5K+/RuncQjNwOX/9VMC6IpRzPVvdGKHyOugwdH0ncs0E84+2rLp7ry6I8ErdA==" saltValue="jtLfJTgX02XzBGTPnDDc1A==" spinCount="100000" sqref="A79:G79 K79" name="Peggy_4"/>
    <protectedRange algorithmName="SHA-512" hashValue="U0r4TXnKvYy8LpCO02xDi2Ktqz0sLAPxksvEp/aJ7aDj8yk6m5na5nx8tpbjoMFEeEdg7m5p3fjMOhnQLi94+g==" saltValue="01/JRdOYVXgVplNuv7lxPg==" spinCount="100000" sqref="L79:O79" name="Jenna_4"/>
    <protectedRange algorithmName="SHA-512" hashValue="renPhEOnsaaHG8kCd4o3+Lfgeeea5ZiM4bGoEdebpQaVzFAyxnpevc2NLrNuZsKUEAOoYuAoeRZ6bxm5eN7niw==" saltValue="JD+mjzHXxZWNPSY+A5Qb0g==" spinCount="100000" sqref="T79" name="Trevor_4"/>
    <protectedRange algorithmName="SHA-512" hashValue="p1zaDFJkdjN+AnmfzFBjbFKRbWYOQQg+cT1DzqDhOzloqO83qQsI/t5kPN30lmEEP3guKkM4uc2fEPeaztRBYA==" saltValue="+Rl2QHA+Wv31lMWEuJdOoQ==" spinCount="100000" sqref="Q79:S79" name="Nolan_4"/>
    <protectedRange algorithmName="SHA-512" hashValue="7kKMQlnDQnaF2pWl7cOum7Q4v5K+/RuncQjNwOX/9VMC6IpRzPVvdGKHyOugwdH0ncs0E84+2rLp7ry6I8ErdA==" saltValue="jtLfJTgX02XzBGTPnDDc1A==" spinCount="100000" sqref="I78 A78:F78" name="Peggy_8"/>
    <protectedRange algorithmName="SHA-512" hashValue="U0r4TXnKvYy8LpCO02xDi2Ktqz0sLAPxksvEp/aJ7aDj8yk6m5na5nx8tpbjoMFEeEdg7m5p3fjMOhnQLi94+g==" saltValue="01/JRdOYVXgVplNuv7lxPg==" spinCount="100000" sqref="K78:M78" name="Jenna_4_1"/>
    <protectedRange algorithmName="SHA-512" hashValue="renPhEOnsaaHG8kCd4o3+Lfgeeea5ZiM4bGoEdebpQaVzFAyxnpevc2NLrNuZsKUEAOoYuAoeRZ6bxm5eN7niw==" saltValue="JD+mjzHXxZWNPSY+A5Qb0g==" spinCount="100000" sqref="R78" name="Trevor_6"/>
    <protectedRange algorithmName="SHA-512" hashValue="p1zaDFJkdjN+AnmfzFBjbFKRbWYOQQg+cT1DzqDhOzloqO83qQsI/t5kPN30lmEEP3guKkM4uc2fEPeaztRBYA==" saltValue="+Rl2QHA+Wv31lMWEuJdOoQ==" spinCount="100000" sqref="O78:Q78" name="Nolan_6"/>
    <protectedRange algorithmName="SHA-512" hashValue="7kKMQlnDQnaF2pWl7cOum7Q4v5K+/RuncQjNwOX/9VMC6IpRzPVvdGKHyOugwdH0ncs0E84+2rLp7ry6I8ErdA==" saltValue="jtLfJTgX02XzBGTPnDDc1A==" spinCount="100000" sqref="H87 A87:C87" name="Peggy_9"/>
    <protectedRange algorithmName="SHA-512" hashValue="U0r4TXnKvYy8LpCO02xDi2Ktqz0sLAPxksvEp/aJ7aDj8yk6m5na5nx8tpbjoMFEeEdg7m5p3fjMOhnQLi94+g==" saltValue="01/JRdOYVXgVplNuv7lxPg==" spinCount="100000" sqref="I87 K87:N87" name="Jenna_7"/>
    <protectedRange algorithmName="SHA-512" hashValue="renPhEOnsaaHG8kCd4o3+Lfgeeea5ZiM4bGoEdebpQaVzFAyxnpevc2NLrNuZsKUEAOoYuAoeRZ6bxm5eN7niw==" saltValue="JD+mjzHXxZWNPSY+A5Qb0g==" spinCount="100000" sqref="R87" name="Trevor_7"/>
    <protectedRange algorithmName="SHA-512" hashValue="p1zaDFJkdjN+AnmfzFBjbFKRbWYOQQg+cT1DzqDhOzloqO83qQsI/t5kPN30lmEEP3guKkM4uc2fEPeaztRBYA==" saltValue="+Rl2QHA+Wv31lMWEuJdOoQ==" spinCount="100000" sqref="P87:Q87" name="Nolan_7"/>
    <protectedRange algorithmName="SHA-512" hashValue="7kKMQlnDQnaF2pWl7cOum7Q4v5K+/RuncQjNwOX/9VMC6IpRzPVvdGKHyOugwdH0ncs0E84+2rLp7ry6I8ErdA==" saltValue="jtLfJTgX02XzBGTPnDDc1A==" spinCount="100000" sqref="I99:I101 A99:A101 C99:F101" name="Peggy_10"/>
    <protectedRange algorithmName="SHA-512" hashValue="U0r4TXnKvYy8LpCO02xDi2Ktqz0sLAPxksvEp/aJ7aDj8yk6m5na5nx8tpbjoMFEeEdg7m5p3fjMOhnQLi94+g==" saltValue="01/JRdOYVXgVplNuv7lxPg==" spinCount="100000" sqref="K99:O99 K100:M101" name="Jenna_8"/>
    <protectedRange algorithmName="SHA-512" hashValue="renPhEOnsaaHG8kCd4o3+Lfgeeea5ZiM4bGoEdebpQaVzFAyxnpevc2NLrNuZsKUEAOoYuAoeRZ6bxm5eN7niw==" saltValue="JD+mjzHXxZWNPSY+A5Qb0g==" spinCount="100000" sqref="S99 R100:R101" name="Trevor_8"/>
    <protectedRange algorithmName="SHA-512" hashValue="p1zaDFJkdjN+AnmfzFBjbFKRbWYOQQg+cT1DzqDhOzloqO83qQsI/t5kPN30lmEEP3guKkM4uc2fEPeaztRBYA==" saltValue="+Rl2QHA+Wv31lMWEuJdOoQ==" spinCount="100000" sqref="P99:R99 O100:Q101" name="Nolan_8"/>
    <protectedRange algorithmName="SHA-512" hashValue="7kKMQlnDQnaF2pWl7cOum7Q4v5K+/RuncQjNwOX/9VMC6IpRzPVvdGKHyOugwdH0ncs0E84+2rLp7ry6I8ErdA==" saltValue="jtLfJTgX02XzBGTPnDDc1A==" spinCount="100000" sqref="A98 I98 C98:F98" name="Peggy_11"/>
    <protectedRange algorithmName="SHA-512" hashValue="U0r4TXnKvYy8LpCO02xDi2Ktqz0sLAPxksvEp/aJ7aDj8yk6m5na5nx8tpbjoMFEeEdg7m5p3fjMOhnQLi94+g==" saltValue="01/JRdOYVXgVplNuv7lxPg==" spinCount="100000" sqref="K98:O98" name="Jenna_9"/>
    <protectedRange algorithmName="SHA-512" hashValue="renPhEOnsaaHG8kCd4o3+Lfgeeea5ZiM4bGoEdebpQaVzFAyxnpevc2NLrNuZsKUEAOoYuAoeRZ6bxm5eN7niw==" saltValue="JD+mjzHXxZWNPSY+A5Qb0g==" spinCount="100000" sqref="S98" name="Trevor_9"/>
    <protectedRange algorithmName="SHA-512" hashValue="p1zaDFJkdjN+AnmfzFBjbFKRbWYOQQg+cT1DzqDhOzloqO83qQsI/t5kPN30lmEEP3guKkM4uc2fEPeaztRBYA==" saltValue="+Rl2QHA+Wv31lMWEuJdOoQ==" spinCount="100000" sqref="P98:R98" name="Nolan_9"/>
    <protectedRange algorithmName="SHA-512" hashValue="7kKMQlnDQnaF2pWl7cOum7Q4v5K+/RuncQjNwOX/9VMC6IpRzPVvdGKHyOugwdH0ncs0E84+2rLp7ry6I8ErdA==" saltValue="jtLfJTgX02XzBGTPnDDc1A==" spinCount="100000" sqref="I109:I112 A109:F112 B113:B115" name="Peggy_12"/>
    <protectedRange algorithmName="SHA-512" hashValue="U0r4TXnKvYy8LpCO02xDi2Ktqz0sLAPxksvEp/aJ7aDj8yk6m5na5nx8tpbjoMFEeEdg7m5p3fjMOhnQLi94+g==" saltValue="01/JRdOYVXgVplNuv7lxPg==" spinCount="100000" sqref="K109:M112" name="Jenna_10"/>
    <protectedRange algorithmName="SHA-512" hashValue="renPhEOnsaaHG8kCd4o3+Lfgeeea5ZiM4bGoEdebpQaVzFAyxnpevc2NLrNuZsKUEAOoYuAoeRZ6bxm5eN7niw==" saltValue="JD+mjzHXxZWNPSY+A5Qb0g==" spinCount="100000" sqref="R109:R112 S111:Y112" name="Trevor_10"/>
    <protectedRange algorithmName="SHA-512" hashValue="p1zaDFJkdjN+AnmfzFBjbFKRbWYOQQg+cT1DzqDhOzloqO83qQsI/t5kPN30lmEEP3guKkM4uc2fEPeaztRBYA==" saltValue="+Rl2QHA+Wv31lMWEuJdOoQ==" spinCount="100000" sqref="O109:Q112" name="Nolan_10"/>
    <protectedRange algorithmName="SHA-512" hashValue="7kKMQlnDQnaF2pWl7cOum7Q4v5K+/RuncQjNwOX/9VMC6IpRzPVvdGKHyOugwdH0ncs0E84+2rLp7ry6I8ErdA==" saltValue="jtLfJTgX02XzBGTPnDDc1A==" spinCount="100000" sqref="A108:F108 I108" name="Peggy_13"/>
    <protectedRange algorithmName="SHA-512" hashValue="U0r4TXnKvYy8LpCO02xDi2Ktqz0sLAPxksvEp/aJ7aDj8yk6m5na5nx8tpbjoMFEeEdg7m5p3fjMOhnQLi94+g==" saltValue="01/JRdOYVXgVplNuv7lxPg==" spinCount="100000" sqref="K108:O108" name="Jenna_11"/>
    <protectedRange algorithmName="SHA-512" hashValue="renPhEOnsaaHG8kCd4o3+Lfgeeea5ZiM4bGoEdebpQaVzFAyxnpevc2NLrNuZsKUEAOoYuAoeRZ6bxm5eN7niw==" saltValue="JD+mjzHXxZWNPSY+A5Qb0g==" spinCount="100000" sqref="S108" name="Trevor_11"/>
    <protectedRange algorithmName="SHA-512" hashValue="p1zaDFJkdjN+AnmfzFBjbFKRbWYOQQg+cT1DzqDhOzloqO83qQsI/t5kPN30lmEEP3guKkM4uc2fEPeaztRBYA==" saltValue="+Rl2QHA+Wv31lMWEuJdOoQ==" spinCount="100000" sqref="P108:R108" name="Nolan_11"/>
    <protectedRange algorithmName="SHA-512" hashValue="7kKMQlnDQnaF2pWl7cOum7Q4v5K+/RuncQjNwOX/9VMC6IpRzPVvdGKHyOugwdH0ncs0E84+2rLp7ry6I8ErdA==" saltValue="jtLfJTgX02XzBGTPnDDc1A==" spinCount="100000" sqref="I106:I107 A107:F107 A106 C106:F106" name="Peggy_14"/>
    <protectedRange algorithmName="SHA-512" hashValue="U0r4TXnKvYy8LpCO02xDi2Ktqz0sLAPxksvEp/aJ7aDj8yk6m5na5nx8tpbjoMFEeEdg7m5p3fjMOhnQLi94+g==" saltValue="01/JRdOYVXgVplNuv7lxPg==" spinCount="100000" sqref="K106:O107" name="Jenna_12"/>
    <protectedRange algorithmName="SHA-512" hashValue="renPhEOnsaaHG8kCd4o3+Lfgeeea5ZiM4bGoEdebpQaVzFAyxnpevc2NLrNuZsKUEAOoYuAoeRZ6bxm5eN7niw==" saltValue="JD+mjzHXxZWNPSY+A5Qb0g==" spinCount="100000" sqref="S106:S107" name="Trevor_12"/>
    <protectedRange algorithmName="SHA-512" hashValue="p1zaDFJkdjN+AnmfzFBjbFKRbWYOQQg+cT1DzqDhOzloqO83qQsI/t5kPN30lmEEP3guKkM4uc2fEPeaztRBYA==" saltValue="+Rl2QHA+Wv31lMWEuJdOoQ==" spinCount="100000" sqref="P106:R107" name="Nolan_12"/>
    <protectedRange algorithmName="SHA-512" hashValue="7kKMQlnDQnaF2pWl7cOum7Q4v5K+/RuncQjNwOX/9VMC6IpRzPVvdGKHyOugwdH0ncs0E84+2rLp7ry6I8ErdA==" saltValue="jtLfJTgX02XzBGTPnDDc1A==" spinCount="100000" sqref="A105 I105 C105:F105" name="Peggy_15"/>
    <protectedRange algorithmName="SHA-512" hashValue="U0r4TXnKvYy8LpCO02xDi2Ktqz0sLAPxksvEp/aJ7aDj8yk6m5na5nx8tpbjoMFEeEdg7m5p3fjMOhnQLi94+g==" saltValue="01/JRdOYVXgVplNuv7lxPg==" spinCount="100000" sqref="K105:M105" name="Jenna_13"/>
    <protectedRange algorithmName="SHA-512" hashValue="renPhEOnsaaHG8kCd4o3+Lfgeeea5ZiM4bGoEdebpQaVzFAyxnpevc2NLrNuZsKUEAOoYuAoeRZ6bxm5eN7niw==" saltValue="JD+mjzHXxZWNPSY+A5Qb0g==" spinCount="100000" sqref="S105" name="Trevor_13"/>
    <protectedRange algorithmName="SHA-512" hashValue="p1zaDFJkdjN+AnmfzFBjbFKRbWYOQQg+cT1DzqDhOzloqO83qQsI/t5kPN30lmEEP3guKkM4uc2fEPeaztRBYA==" saltValue="+Rl2QHA+Wv31lMWEuJdOoQ==" spinCount="100000" sqref="O105:R105" name="Nolan_13"/>
    <protectedRange algorithmName="SHA-512" hashValue="7kKMQlnDQnaF2pWl7cOum7Q4v5K+/RuncQjNwOX/9VMC6IpRzPVvdGKHyOugwdH0ncs0E84+2rLp7ry6I8ErdA==" saltValue="jtLfJTgX02XzBGTPnDDc1A==" spinCount="100000" sqref="A104 I104 C104:F104" name="Peggy_16"/>
    <protectedRange algorithmName="SHA-512" hashValue="U0r4TXnKvYy8LpCO02xDi2Ktqz0sLAPxksvEp/aJ7aDj8yk6m5na5nx8tpbjoMFEeEdg7m5p3fjMOhnQLi94+g==" saltValue="01/JRdOYVXgVplNuv7lxPg==" spinCount="100000" sqref="K104:O104" name="Jenna_14"/>
    <protectedRange algorithmName="SHA-512" hashValue="renPhEOnsaaHG8kCd4o3+Lfgeeea5ZiM4bGoEdebpQaVzFAyxnpevc2NLrNuZsKUEAOoYuAoeRZ6bxm5eN7niw==" saltValue="JD+mjzHXxZWNPSY+A5Qb0g==" spinCount="100000" sqref="S104" name="Trevor_14"/>
    <protectedRange algorithmName="SHA-512" hashValue="p1zaDFJkdjN+AnmfzFBjbFKRbWYOQQg+cT1DzqDhOzloqO83qQsI/t5kPN30lmEEP3guKkM4uc2fEPeaztRBYA==" saltValue="+Rl2QHA+Wv31lMWEuJdOoQ==" spinCount="100000" sqref="P104:R104" name="Nolan_14"/>
    <protectedRange algorithmName="SHA-512" hashValue="7kKMQlnDQnaF2pWl7cOum7Q4v5K+/RuncQjNwOX/9VMC6IpRzPVvdGKHyOugwdH0ncs0E84+2rLp7ry6I8ErdA==" saltValue="jtLfJTgX02XzBGTPnDDc1A==" spinCount="100000" sqref="A103 I103 C103:F103" name="Peggy_17"/>
    <protectedRange algorithmName="SHA-512" hashValue="U0r4TXnKvYy8LpCO02xDi2Ktqz0sLAPxksvEp/aJ7aDj8yk6m5na5nx8tpbjoMFEeEdg7m5p3fjMOhnQLi94+g==" saltValue="01/JRdOYVXgVplNuv7lxPg==" spinCount="100000" sqref="K103:M103" name="Jenna_15"/>
    <protectedRange algorithmName="SHA-512" hashValue="renPhEOnsaaHG8kCd4o3+Lfgeeea5ZiM4bGoEdebpQaVzFAyxnpevc2NLrNuZsKUEAOoYuAoeRZ6bxm5eN7niw==" saltValue="JD+mjzHXxZWNPSY+A5Qb0g==" spinCount="100000" sqref="R103" name="Trevor_15"/>
    <protectedRange algorithmName="SHA-512" hashValue="p1zaDFJkdjN+AnmfzFBjbFKRbWYOQQg+cT1DzqDhOzloqO83qQsI/t5kPN30lmEEP3guKkM4uc2fEPeaztRBYA==" saltValue="+Rl2QHA+Wv31lMWEuJdOoQ==" spinCount="100000" sqref="O103:Q103" name="Nolan_15"/>
    <protectedRange algorithmName="SHA-512" hashValue="7kKMQlnDQnaF2pWl7cOum7Q4v5K+/RuncQjNwOX/9VMC6IpRzPVvdGKHyOugwdH0ncs0E84+2rLp7ry6I8ErdA==" saltValue="jtLfJTgX02XzBGTPnDDc1A==" spinCount="100000" sqref="A102 I102 C102:F102" name="Peggy_18"/>
    <protectedRange algorithmName="SHA-512" hashValue="U0r4TXnKvYy8LpCO02xDi2Ktqz0sLAPxksvEp/aJ7aDj8yk6m5na5nx8tpbjoMFEeEdg7m5p3fjMOhnQLi94+g==" saltValue="01/JRdOYVXgVplNuv7lxPg==" spinCount="100000" sqref="K102:O102" name="Jenna_16"/>
    <protectedRange algorithmName="SHA-512" hashValue="renPhEOnsaaHG8kCd4o3+Lfgeeea5ZiM4bGoEdebpQaVzFAyxnpevc2NLrNuZsKUEAOoYuAoeRZ6bxm5eN7niw==" saltValue="JD+mjzHXxZWNPSY+A5Qb0g==" spinCount="100000" sqref="S102" name="Trevor_16"/>
    <protectedRange algorithmName="SHA-512" hashValue="p1zaDFJkdjN+AnmfzFBjbFKRbWYOQQg+cT1DzqDhOzloqO83qQsI/t5kPN30lmEEP3guKkM4uc2fEPeaztRBYA==" saltValue="+Rl2QHA+Wv31lMWEuJdOoQ==" spinCount="100000" sqref="P102:R102" name="Nolan_16"/>
    <protectedRange algorithmName="SHA-512" hashValue="7kKMQlnDQnaF2pWl7cOum7Q4v5K+/RuncQjNwOX/9VMC6IpRzPVvdGKHyOugwdH0ncs0E84+2rLp7ry6I8ErdA==" saltValue="jtLfJTgX02XzBGTPnDDc1A==" spinCount="100000" sqref="A95:A97 I95:I97 C95:F97" name="Peggy_19"/>
    <protectedRange algorithmName="SHA-512" hashValue="U0r4TXnKvYy8LpCO02xDi2Ktqz0sLAPxksvEp/aJ7aDj8yk6m5na5nx8tpbjoMFEeEdg7m5p3fjMOhnQLi94+g==" saltValue="01/JRdOYVXgVplNuv7lxPg==" spinCount="100000" sqref="K96:O96 K95:M95 K97:M97" name="Jenna_17"/>
    <protectedRange algorithmName="SHA-512" hashValue="renPhEOnsaaHG8kCd4o3+Lfgeeea5ZiM4bGoEdebpQaVzFAyxnpevc2NLrNuZsKUEAOoYuAoeRZ6bxm5eN7niw==" saltValue="JD+mjzHXxZWNPSY+A5Qb0g==" spinCount="100000" sqref="R95 R97 T96:Y96" name="Trevor_17"/>
    <protectedRange algorithmName="SHA-512" hashValue="p1zaDFJkdjN+AnmfzFBjbFKRbWYOQQg+cT1DzqDhOzloqO83qQsI/t5kPN30lmEEP3guKkM4uc2fEPeaztRBYA==" saltValue="+Rl2QHA+Wv31lMWEuJdOoQ==" spinCount="100000" sqref="Q96:S96 O95:Q95 O97:Q97" name="Nolan_17"/>
    <protectedRange algorithmName="SHA-512" hashValue="7kKMQlnDQnaF2pWl7cOum7Q4v5K+/RuncQjNwOX/9VMC6IpRzPVvdGKHyOugwdH0ncs0E84+2rLp7ry6I8ErdA==" saltValue="jtLfJTgX02XzBGTPnDDc1A==" spinCount="100000" sqref="I94 A94 C94:F94" name="Peggy_20"/>
    <protectedRange algorithmName="SHA-512" hashValue="U0r4TXnKvYy8LpCO02xDi2Ktqz0sLAPxksvEp/aJ7aDj8yk6m5na5nx8tpbjoMFEeEdg7m5p3fjMOhnQLi94+g==" saltValue="01/JRdOYVXgVplNuv7lxPg==" spinCount="100000" sqref="K94:M94" name="Jenna_18"/>
    <protectedRange algorithmName="SHA-512" hashValue="renPhEOnsaaHG8kCd4o3+Lfgeeea5ZiM4bGoEdebpQaVzFAyxnpevc2NLrNuZsKUEAOoYuAoeRZ6bxm5eN7niw==" saltValue="JD+mjzHXxZWNPSY+A5Qb0g==" spinCount="100000" sqref="R94" name="Trevor_18"/>
    <protectedRange algorithmName="SHA-512" hashValue="p1zaDFJkdjN+AnmfzFBjbFKRbWYOQQg+cT1DzqDhOzloqO83qQsI/t5kPN30lmEEP3guKkM4uc2fEPeaztRBYA==" saltValue="+Rl2QHA+Wv31lMWEuJdOoQ==" spinCount="100000" sqref="O94:Q94" name="Nolan_18"/>
    <protectedRange algorithmName="SHA-512" hashValue="7kKMQlnDQnaF2pWl7cOum7Q4v5K+/RuncQjNwOX/9VMC6IpRzPVvdGKHyOugwdH0ncs0E84+2rLp7ry6I8ErdA==" saltValue="jtLfJTgX02XzBGTPnDDc1A==" spinCount="100000" sqref="I92:I93 A92:F93 B94:B106" name="Peggy_21"/>
    <protectedRange algorithmName="SHA-512" hashValue="U0r4TXnKvYy8LpCO02xDi2Ktqz0sLAPxksvEp/aJ7aDj8yk6m5na5nx8tpbjoMFEeEdg7m5p3fjMOhnQLi94+g==" saltValue="01/JRdOYVXgVplNuv7lxPg==" spinCount="100000" sqref="K92:O92 K93:M93" name="Jenna_19"/>
    <protectedRange algorithmName="SHA-512" hashValue="renPhEOnsaaHG8kCd4o3+Lfgeeea5ZiM4bGoEdebpQaVzFAyxnpevc2NLrNuZsKUEAOoYuAoeRZ6bxm5eN7niw==" saltValue="JD+mjzHXxZWNPSY+A5Qb0g==" spinCount="100000" sqref="S92 R93" name="Trevor_19"/>
    <protectedRange algorithmName="SHA-512" hashValue="p1zaDFJkdjN+AnmfzFBjbFKRbWYOQQg+cT1DzqDhOzloqO83qQsI/t5kPN30lmEEP3guKkM4uc2fEPeaztRBYA==" saltValue="+Rl2QHA+Wv31lMWEuJdOoQ==" spinCount="100000" sqref="P92:R92 O93:Q93" name="Nolan_19"/>
    <protectedRange algorithmName="SHA-512" hashValue="7kKMQlnDQnaF2pWl7cOum7Q4v5K+/RuncQjNwOX/9VMC6IpRzPVvdGKHyOugwdH0ncs0E84+2rLp7ry6I8ErdA==" saltValue="jtLfJTgX02XzBGTPnDDc1A==" spinCount="100000" sqref="A69 I69 C69:F69" name="Peggy_23"/>
    <protectedRange algorithmName="SHA-512" hashValue="U0r4TXnKvYy8LpCO02xDi2Ktqz0sLAPxksvEp/aJ7aDj8yk6m5na5nx8tpbjoMFEeEdg7m5p3fjMOhnQLi94+g==" saltValue="01/JRdOYVXgVplNuv7lxPg==" spinCount="100000" sqref="K69:O69" name="Jenna_23"/>
    <protectedRange algorithmName="SHA-512" hashValue="renPhEOnsaaHG8kCd4o3+Lfgeeea5ZiM4bGoEdebpQaVzFAyxnpevc2NLrNuZsKUEAOoYuAoeRZ6bxm5eN7niw==" saltValue="JD+mjzHXxZWNPSY+A5Qb0g==" spinCount="100000" sqref="S69" name="Trevor_21"/>
    <protectedRange algorithmName="SHA-512" hashValue="p1zaDFJkdjN+AnmfzFBjbFKRbWYOQQg+cT1DzqDhOzloqO83qQsI/t5kPN30lmEEP3guKkM4uc2fEPeaztRBYA==" saltValue="+Rl2QHA+Wv31lMWEuJdOoQ==" spinCount="100000" sqref="P69:R69" name="Nolan_21"/>
    <protectedRange algorithmName="SHA-512" hashValue="7kKMQlnDQnaF2pWl7cOum7Q4v5K+/RuncQjNwOX/9VMC6IpRzPVvdGKHyOugwdH0ncs0E84+2rLp7ry6I8ErdA==" saltValue="jtLfJTgX02XzBGTPnDDc1A==" spinCount="100000" sqref="I88 A88:F88" name="Peggy_6"/>
    <protectedRange algorithmName="SHA-512" hashValue="U0r4TXnKvYy8LpCO02xDi2Ktqz0sLAPxksvEp/aJ7aDj8yk6m5na5nx8tpbjoMFEeEdg7m5p3fjMOhnQLi94+g==" saltValue="01/JRdOYVXgVplNuv7lxPg==" spinCount="100000" sqref="K88:O88" name="Jenna_6"/>
    <protectedRange algorithmName="SHA-512" hashValue="renPhEOnsaaHG8kCd4o3+Lfgeeea5ZiM4bGoEdebpQaVzFAyxnpevc2NLrNuZsKUEAOoYuAoeRZ6bxm5eN7niw==" saltValue="JD+mjzHXxZWNPSY+A5Qb0g==" spinCount="100000" sqref="S88" name="Trevor_20"/>
    <protectedRange algorithmName="SHA-512" hashValue="p1zaDFJkdjN+AnmfzFBjbFKRbWYOQQg+cT1DzqDhOzloqO83qQsI/t5kPN30lmEEP3guKkM4uc2fEPeaztRBYA==" saltValue="+Rl2QHA+Wv31lMWEuJdOoQ==" spinCount="100000" sqref="P88:R88" name="Nolan_20"/>
  </protectedRanges>
  <autoFilter ref="A1:V46" xr:uid="{48C9990C-BF4B-43CF-A38D-AC3223D8FFE5}"/>
  <sortState xmlns:xlrd2="http://schemas.microsoft.com/office/spreadsheetml/2017/richdata2" ref="A16:AA27">
    <sortCondition ref="A16:A27"/>
  </sortState>
  <phoneticPr fontId="5" type="noConversion"/>
  <printOptions horizontalCentered="1"/>
  <pageMargins left="0.5" right="0.25" top="0.75" bottom="0.75" header="0.3" footer="0.3"/>
  <pageSetup paperSize="3" scale="33" fitToHeight="7" orientation="landscape" r:id="rId1"/>
  <headerFooter>
    <oddHeader>&amp;C&amp;G&amp;R&amp;D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3D3F-80EA-4B81-A87B-C538A27F25CA}">
  <dimension ref="A1:AK185"/>
  <sheetViews>
    <sheetView zoomScale="85" zoomScaleNormal="85" workbookViewId="0">
      <pane xSplit="2" ySplit="2" topLeftCell="Y3" activePane="bottomRight" state="frozen"/>
      <selection pane="topRight" activeCell="B1" sqref="B1"/>
      <selection pane="bottomLeft" activeCell="A3" sqref="A3"/>
      <selection pane="bottomRight" activeCell="AJ15" sqref="AJ15"/>
    </sheetView>
  </sheetViews>
  <sheetFormatPr defaultRowHeight="15" x14ac:dyDescent="0.25"/>
  <cols>
    <col min="1" max="1" width="12.42578125" customWidth="1"/>
    <col min="2" max="2" width="47.5703125" bestFit="1" customWidth="1"/>
    <col min="3" max="3" width="11" style="74" customWidth="1"/>
    <col min="4" max="4" width="12.42578125" style="74" customWidth="1"/>
    <col min="5" max="5" width="46.5703125" customWidth="1"/>
    <col min="6" max="6" width="16.5703125" style="74" customWidth="1"/>
    <col min="7" max="8" width="13.5703125" style="295" customWidth="1"/>
    <col min="9" max="9" width="13.5703125" style="296" customWidth="1"/>
    <col min="10" max="10" width="11.5703125" style="74" customWidth="1"/>
    <col min="11" max="11" width="13.5703125" style="74" customWidth="1"/>
    <col min="12" max="12" width="12.5703125" style="74" customWidth="1"/>
    <col min="13" max="13" width="12.5703125" style="74" hidden="1" customWidth="1"/>
    <col min="14" max="16" width="16.5703125" style="38" hidden="1" customWidth="1"/>
    <col min="17" max="17" width="18.5703125" style="78" customWidth="1"/>
    <col min="18" max="18" width="17.42578125" style="278" hidden="1" customWidth="1"/>
    <col min="19" max="19" width="19.5703125" style="277" hidden="1" customWidth="1"/>
    <col min="20" max="21" width="19.5703125" style="78" hidden="1" customWidth="1"/>
    <col min="22" max="24" width="19.5703125" style="81" hidden="1" customWidth="1"/>
    <col min="25" max="29" width="19.5703125" style="78" customWidth="1"/>
    <col min="30" max="30" width="19.5703125" style="277" customWidth="1"/>
    <col min="31" max="31" width="18.42578125" style="277" customWidth="1"/>
    <col min="32" max="32" width="16.5703125" style="78" customWidth="1"/>
    <col min="33" max="33" width="3.42578125" style="79" customWidth="1"/>
    <col min="34" max="34" width="17.42578125" style="78" customWidth="1"/>
    <col min="35" max="35" width="3.42578125" style="79" customWidth="1"/>
    <col min="36" max="36" width="17.5703125" customWidth="1"/>
    <col min="37" max="37" width="76.5703125" bestFit="1" customWidth="1"/>
  </cols>
  <sheetData>
    <row r="1" spans="1:37" s="36" customFormat="1" ht="29.1" customHeight="1" x14ac:dyDescent="0.25">
      <c r="C1" s="37"/>
      <c r="D1" s="37"/>
      <c r="F1" s="37"/>
      <c r="G1" s="293"/>
      <c r="H1" s="293"/>
      <c r="I1" s="38"/>
      <c r="J1" s="37"/>
      <c r="K1" s="37"/>
      <c r="L1" s="37"/>
      <c r="M1" s="37"/>
      <c r="N1" s="38"/>
      <c r="O1" s="38"/>
      <c r="P1" s="38"/>
      <c r="Q1" s="279"/>
      <c r="R1" s="280">
        <v>2020</v>
      </c>
      <c r="S1" s="529">
        <v>2021</v>
      </c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281">
        <v>2022</v>
      </c>
      <c r="AF1" s="282">
        <v>2023</v>
      </c>
      <c r="AG1" s="42"/>
      <c r="AH1" s="41"/>
      <c r="AI1" s="42"/>
    </row>
    <row r="2" spans="1:37" s="292" customFormat="1" ht="47.25" x14ac:dyDescent="0.25">
      <c r="A2" s="284" t="s">
        <v>614</v>
      </c>
      <c r="B2" s="285" t="s">
        <v>613</v>
      </c>
      <c r="C2" s="286" t="s">
        <v>342</v>
      </c>
      <c r="D2" s="286" t="s">
        <v>343</v>
      </c>
      <c r="E2" s="285" t="s">
        <v>612</v>
      </c>
      <c r="F2" s="286" t="s">
        <v>12</v>
      </c>
      <c r="G2" s="294" t="s">
        <v>615</v>
      </c>
      <c r="H2" s="294" t="s">
        <v>620</v>
      </c>
      <c r="I2" s="287" t="s">
        <v>619</v>
      </c>
      <c r="J2" s="286" t="s">
        <v>620</v>
      </c>
      <c r="K2" s="286" t="s">
        <v>345</v>
      </c>
      <c r="L2" s="286" t="s">
        <v>346</v>
      </c>
      <c r="M2" s="286" t="s">
        <v>681</v>
      </c>
      <c r="N2" s="287" t="s">
        <v>347</v>
      </c>
      <c r="O2" s="287" t="s">
        <v>644</v>
      </c>
      <c r="P2" s="287" t="s">
        <v>645</v>
      </c>
      <c r="Q2" s="82" t="s">
        <v>348</v>
      </c>
      <c r="R2" s="288" t="s">
        <v>629</v>
      </c>
      <c r="S2" s="82" t="s">
        <v>353</v>
      </c>
      <c r="T2" s="82" t="s">
        <v>354</v>
      </c>
      <c r="U2" s="82" t="s">
        <v>355</v>
      </c>
      <c r="V2" s="289" t="s">
        <v>356</v>
      </c>
      <c r="W2" s="289" t="s">
        <v>357</v>
      </c>
      <c r="X2" s="82" t="s">
        <v>358</v>
      </c>
      <c r="Y2" s="82" t="s">
        <v>359</v>
      </c>
      <c r="Z2" s="289" t="s">
        <v>360</v>
      </c>
      <c r="AA2" s="82" t="s">
        <v>361</v>
      </c>
      <c r="AB2" s="82" t="s">
        <v>362</v>
      </c>
      <c r="AC2" s="289" t="s">
        <v>363</v>
      </c>
      <c r="AD2" s="82" t="s">
        <v>364</v>
      </c>
      <c r="AE2" s="82" t="s">
        <v>627</v>
      </c>
      <c r="AF2" s="289" t="s">
        <v>628</v>
      </c>
      <c r="AG2" s="290"/>
      <c r="AH2" s="82" t="s">
        <v>365</v>
      </c>
      <c r="AI2" s="290"/>
      <c r="AJ2" s="291" t="s">
        <v>366</v>
      </c>
      <c r="AK2" s="291" t="s">
        <v>547</v>
      </c>
    </row>
    <row r="3" spans="1:37" s="36" customFormat="1" ht="15.75" x14ac:dyDescent="0.25">
      <c r="A3" s="106" t="s">
        <v>27</v>
      </c>
      <c r="B3" s="107"/>
      <c r="C3" s="101" t="s">
        <v>368</v>
      </c>
      <c r="D3" s="102"/>
      <c r="E3" s="107"/>
      <c r="F3" s="102"/>
      <c r="G3" s="276"/>
      <c r="H3" s="276"/>
      <c r="I3" s="84"/>
      <c r="J3" s="102"/>
      <c r="K3" s="102"/>
      <c r="L3" s="102"/>
      <c r="M3" s="102"/>
      <c r="N3" s="84"/>
      <c r="O3" s="84"/>
      <c r="P3" s="84"/>
      <c r="Q3" s="103"/>
      <c r="R3" s="85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47"/>
      <c r="AH3" s="103"/>
      <c r="AI3" s="51"/>
    </row>
    <row r="4" spans="1:37" s="36" customFormat="1" ht="15.75" x14ac:dyDescent="0.25">
      <c r="A4" s="303" t="s">
        <v>284</v>
      </c>
      <c r="B4" s="304" t="s">
        <v>421</v>
      </c>
      <c r="C4" s="302" t="s">
        <v>368</v>
      </c>
      <c r="D4" s="302" t="s">
        <v>402</v>
      </c>
      <c r="E4" s="297" t="s">
        <v>286</v>
      </c>
      <c r="F4" s="302" t="s">
        <v>237</v>
      </c>
      <c r="G4" s="318">
        <v>43867</v>
      </c>
      <c r="H4" s="318">
        <v>43952</v>
      </c>
      <c r="I4" s="331">
        <f>H4-G4</f>
        <v>85</v>
      </c>
      <c r="J4" s="302" t="s">
        <v>370</v>
      </c>
      <c r="K4" s="318">
        <v>43983</v>
      </c>
      <c r="L4" s="318">
        <v>44155</v>
      </c>
      <c r="M4" s="318"/>
      <c r="N4" s="305">
        <f t="shared" ref="N4:N17" si="0">((L4-K4)/7)/4.3</f>
        <v>5.7142857142857153</v>
      </c>
      <c r="O4" s="305" t="s">
        <v>237</v>
      </c>
      <c r="P4" s="305"/>
      <c r="Q4" s="306">
        <f>660134-54144</f>
        <v>605990</v>
      </c>
      <c r="R4" s="115">
        <v>568347</v>
      </c>
      <c r="S4" s="115">
        <v>879</v>
      </c>
      <c r="T4" s="115">
        <v>35573</v>
      </c>
      <c r="U4" s="115">
        <v>656</v>
      </c>
      <c r="V4" s="115">
        <v>0</v>
      </c>
      <c r="W4" s="115">
        <v>0</v>
      </c>
      <c r="X4" s="115">
        <v>535</v>
      </c>
      <c r="Y4" s="115">
        <v>0</v>
      </c>
      <c r="Z4" s="115">
        <v>0</v>
      </c>
      <c r="AA4" s="89"/>
      <c r="AB4" s="58"/>
      <c r="AC4" s="58"/>
      <c r="AD4" s="58"/>
      <c r="AE4" s="53"/>
      <c r="AF4" s="53"/>
      <c r="AG4" s="47"/>
      <c r="AH4" s="53">
        <f t="shared" ref="AH4:AH21" si="1">SUM(R4:AG4)</f>
        <v>605990</v>
      </c>
      <c r="AI4" s="51"/>
      <c r="AJ4" s="218">
        <f>AH4-Q4</f>
        <v>0</v>
      </c>
    </row>
    <row r="5" spans="1:37" s="36" customFormat="1" ht="15.75" x14ac:dyDescent="0.25">
      <c r="A5" s="307" t="s">
        <v>288</v>
      </c>
      <c r="B5" s="308" t="s">
        <v>289</v>
      </c>
      <c r="C5" s="302" t="s">
        <v>368</v>
      </c>
      <c r="D5" s="302" t="s">
        <v>659</v>
      </c>
      <c r="E5" s="297" t="s">
        <v>290</v>
      </c>
      <c r="F5" s="302" t="s">
        <v>237</v>
      </c>
      <c r="G5" s="318">
        <v>43973</v>
      </c>
      <c r="H5" s="318">
        <v>44006</v>
      </c>
      <c r="I5" s="331">
        <f>H5-G5</f>
        <v>33</v>
      </c>
      <c r="J5" s="302" t="s">
        <v>370</v>
      </c>
      <c r="K5" s="318">
        <v>44048</v>
      </c>
      <c r="L5" s="318">
        <v>44237</v>
      </c>
      <c r="M5" s="318"/>
      <c r="N5" s="305">
        <f t="shared" si="0"/>
        <v>6.279069767441861</v>
      </c>
      <c r="O5" s="305" t="s">
        <v>237</v>
      </c>
      <c r="P5" s="305"/>
      <c r="Q5" s="306">
        <v>845876</v>
      </c>
      <c r="R5" s="115">
        <v>628337</v>
      </c>
      <c r="S5" s="115">
        <v>137155</v>
      </c>
      <c r="T5" s="177">
        <v>19492</v>
      </c>
      <c r="U5" s="115">
        <v>60892</v>
      </c>
      <c r="V5" s="242">
        <v>0</v>
      </c>
      <c r="W5" s="115">
        <v>0</v>
      </c>
      <c r="X5" s="115">
        <v>0</v>
      </c>
      <c r="Y5" s="115">
        <v>0</v>
      </c>
      <c r="Z5" s="115">
        <v>0</v>
      </c>
      <c r="AA5" s="53"/>
      <c r="AB5" s="53"/>
      <c r="AC5" s="53"/>
      <c r="AD5" s="53"/>
      <c r="AE5" s="53"/>
      <c r="AF5" s="53"/>
      <c r="AG5" s="47"/>
      <c r="AH5" s="53">
        <f t="shared" si="1"/>
        <v>845876</v>
      </c>
      <c r="AI5" s="51"/>
      <c r="AJ5" s="218">
        <f t="shared" ref="AJ5:AJ68" si="2">AH5-Q5</f>
        <v>0</v>
      </c>
    </row>
    <row r="6" spans="1:37" s="36" customFormat="1" ht="15.75" x14ac:dyDescent="0.25">
      <c r="A6" s="303" t="s">
        <v>292</v>
      </c>
      <c r="B6" s="304" t="s">
        <v>293</v>
      </c>
      <c r="C6" s="302" t="s">
        <v>368</v>
      </c>
      <c r="D6" s="302" t="s">
        <v>659</v>
      </c>
      <c r="E6" s="297" t="s">
        <v>294</v>
      </c>
      <c r="F6" s="302" t="s">
        <v>237</v>
      </c>
      <c r="G6" s="318">
        <v>44041</v>
      </c>
      <c r="H6" s="318">
        <v>44106</v>
      </c>
      <c r="I6" s="331">
        <f>H6-G6</f>
        <v>65</v>
      </c>
      <c r="J6" s="302" t="s">
        <v>370</v>
      </c>
      <c r="K6" s="318">
        <v>44102</v>
      </c>
      <c r="L6" s="318">
        <v>44241</v>
      </c>
      <c r="M6" s="318"/>
      <c r="N6" s="305">
        <f t="shared" si="0"/>
        <v>4.6179401993355489</v>
      </c>
      <c r="O6" s="305" t="s">
        <v>237</v>
      </c>
      <c r="P6" s="305"/>
      <c r="Q6" s="306">
        <v>303150</v>
      </c>
      <c r="R6" s="115">
        <v>162612</v>
      </c>
      <c r="S6" s="115">
        <v>95646</v>
      </c>
      <c r="T6" s="177">
        <v>33342</v>
      </c>
      <c r="U6" s="115">
        <v>5713</v>
      </c>
      <c r="V6" s="242">
        <v>5837</v>
      </c>
      <c r="W6" s="115">
        <v>0</v>
      </c>
      <c r="X6" s="115">
        <v>0</v>
      </c>
      <c r="Y6" s="115">
        <v>0</v>
      </c>
      <c r="Z6" s="115">
        <v>0</v>
      </c>
      <c r="AA6" s="53"/>
      <c r="AB6" s="53"/>
      <c r="AC6" s="53"/>
      <c r="AD6" s="53"/>
      <c r="AE6" s="53"/>
      <c r="AF6" s="53"/>
      <c r="AG6" s="47"/>
      <c r="AH6" s="53">
        <f t="shared" si="1"/>
        <v>303150</v>
      </c>
      <c r="AI6" s="51"/>
      <c r="AJ6" s="218">
        <f t="shared" si="2"/>
        <v>0</v>
      </c>
    </row>
    <row r="7" spans="1:37" s="36" customFormat="1" ht="15.75" x14ac:dyDescent="0.25">
      <c r="A7" s="303" t="s">
        <v>295</v>
      </c>
      <c r="B7" s="304" t="s">
        <v>296</v>
      </c>
      <c r="C7" s="302" t="s">
        <v>368</v>
      </c>
      <c r="D7" s="302" t="s">
        <v>659</v>
      </c>
      <c r="E7" s="297" t="s">
        <v>616</v>
      </c>
      <c r="F7" s="302" t="s">
        <v>237</v>
      </c>
      <c r="G7" s="318">
        <v>44007</v>
      </c>
      <c r="H7" s="318">
        <v>44029</v>
      </c>
      <c r="I7" s="331">
        <f>H7-G7</f>
        <v>22</v>
      </c>
      <c r="J7" s="302" t="s">
        <v>370</v>
      </c>
      <c r="K7" s="318">
        <v>44102</v>
      </c>
      <c r="L7" s="318">
        <v>44237</v>
      </c>
      <c r="M7" s="318"/>
      <c r="N7" s="305">
        <f t="shared" si="0"/>
        <v>4.485049833887043</v>
      </c>
      <c r="O7" s="305" t="s">
        <v>237</v>
      </c>
      <c r="P7" s="305"/>
      <c r="Q7" s="306">
        <v>222517</v>
      </c>
      <c r="R7" s="115">
        <v>131745</v>
      </c>
      <c r="S7" s="115">
        <v>62828</v>
      </c>
      <c r="T7" s="177">
        <v>27944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53"/>
      <c r="AB7" s="53"/>
      <c r="AC7" s="53"/>
      <c r="AD7" s="53"/>
      <c r="AE7" s="53"/>
      <c r="AF7" s="53"/>
      <c r="AG7" s="47"/>
      <c r="AH7" s="53">
        <f t="shared" si="1"/>
        <v>222517</v>
      </c>
      <c r="AI7" s="51"/>
      <c r="AJ7" s="218">
        <f t="shared" si="2"/>
        <v>0</v>
      </c>
    </row>
    <row r="8" spans="1:37" s="36" customFormat="1" ht="15.75" x14ac:dyDescent="0.25">
      <c r="A8" s="34" t="s">
        <v>166</v>
      </c>
      <c r="B8" s="35" t="s">
        <v>168</v>
      </c>
      <c r="C8" s="298" t="s">
        <v>368</v>
      </c>
      <c r="D8" s="298" t="s">
        <v>402</v>
      </c>
      <c r="E8" s="300" t="s">
        <v>169</v>
      </c>
      <c r="F8" s="298" t="s">
        <v>46</v>
      </c>
      <c r="G8" s="329">
        <v>44243</v>
      </c>
      <c r="H8" s="329">
        <v>44302</v>
      </c>
      <c r="I8" s="301">
        <f>H8-G8</f>
        <v>59</v>
      </c>
      <c r="J8" s="52" t="s">
        <v>370</v>
      </c>
      <c r="K8" s="329">
        <v>44319</v>
      </c>
      <c r="L8" s="298">
        <v>44505</v>
      </c>
      <c r="M8" s="298"/>
      <c r="N8" s="301">
        <f t="shared" si="0"/>
        <v>6.1794019933554827</v>
      </c>
      <c r="O8" s="301"/>
      <c r="P8" s="301"/>
      <c r="Q8" s="181">
        <v>1181870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154842</v>
      </c>
      <c r="X8" s="115">
        <v>139424</v>
      </c>
      <c r="Y8" s="115">
        <v>0</v>
      </c>
      <c r="Z8" s="115">
        <v>383465</v>
      </c>
      <c r="AA8" s="275">
        <v>150000</v>
      </c>
      <c r="AB8" s="275">
        <v>150000</v>
      </c>
      <c r="AC8" s="275">
        <v>150000</v>
      </c>
      <c r="AD8" s="275">
        <v>90000</v>
      </c>
      <c r="AE8" s="275">
        <v>47604</v>
      </c>
      <c r="AF8" s="53"/>
      <c r="AG8" s="47"/>
      <c r="AH8" s="53">
        <f t="shared" si="1"/>
        <v>1265335</v>
      </c>
      <c r="AI8" s="51"/>
      <c r="AJ8" s="218">
        <f t="shared" si="2"/>
        <v>83465</v>
      </c>
    </row>
    <row r="9" spans="1:37" s="36" customFormat="1" ht="15.75" x14ac:dyDescent="0.25">
      <c r="A9" s="221" t="s">
        <v>23</v>
      </c>
      <c r="B9" s="309" t="s">
        <v>25</v>
      </c>
      <c r="C9" s="302" t="s">
        <v>368</v>
      </c>
      <c r="D9" s="302" t="s">
        <v>659</v>
      </c>
      <c r="E9" s="297" t="s">
        <v>26</v>
      </c>
      <c r="F9" s="302" t="s">
        <v>237</v>
      </c>
      <c r="G9" s="328">
        <v>44046</v>
      </c>
      <c r="H9" s="328">
        <v>44162</v>
      </c>
      <c r="I9" s="331">
        <f t="shared" ref="I9:I17" si="3">H9-G9</f>
        <v>116</v>
      </c>
      <c r="J9" s="310" t="s">
        <v>370</v>
      </c>
      <c r="K9" s="318">
        <v>44144</v>
      </c>
      <c r="L9" s="318">
        <v>44407</v>
      </c>
      <c r="M9" s="318"/>
      <c r="N9" s="311">
        <f t="shared" si="0"/>
        <v>8.7375415282392019</v>
      </c>
      <c r="O9" s="311" t="s">
        <v>237</v>
      </c>
      <c r="P9" s="311"/>
      <c r="Q9" s="306">
        <v>1307434</v>
      </c>
      <c r="R9" s="115">
        <v>244435</v>
      </c>
      <c r="S9" s="115">
        <v>181308</v>
      </c>
      <c r="T9" s="115">
        <v>16313</v>
      </c>
      <c r="U9" s="115">
        <v>286477</v>
      </c>
      <c r="V9" s="242">
        <v>175065</v>
      </c>
      <c r="W9" s="115">
        <v>254689</v>
      </c>
      <c r="X9" s="115">
        <v>149147</v>
      </c>
      <c r="Y9" s="115">
        <v>0</v>
      </c>
      <c r="Z9" s="115">
        <v>0</v>
      </c>
      <c r="AA9" s="53"/>
      <c r="AB9" s="53"/>
      <c r="AC9" s="53"/>
      <c r="AD9" s="53"/>
      <c r="AE9" s="53"/>
      <c r="AF9" s="53"/>
      <c r="AG9" s="47"/>
      <c r="AH9" s="53">
        <f t="shared" si="1"/>
        <v>1307434</v>
      </c>
      <c r="AI9" s="51"/>
      <c r="AJ9" s="218">
        <f t="shared" si="2"/>
        <v>0</v>
      </c>
    </row>
    <row r="10" spans="1:37" s="36" customFormat="1" ht="15.75" x14ac:dyDescent="0.25">
      <c r="A10" s="221" t="s">
        <v>31</v>
      </c>
      <c r="B10" s="309" t="s">
        <v>32</v>
      </c>
      <c r="C10" s="302" t="s">
        <v>368</v>
      </c>
      <c r="D10" s="302" t="s">
        <v>659</v>
      </c>
      <c r="E10" s="297" t="s">
        <v>617</v>
      </c>
      <c r="F10" s="302" t="s">
        <v>237</v>
      </c>
      <c r="G10" s="328">
        <v>44049</v>
      </c>
      <c r="H10" s="328">
        <v>44163</v>
      </c>
      <c r="I10" s="331">
        <f t="shared" si="3"/>
        <v>114</v>
      </c>
      <c r="J10" s="310" t="s">
        <v>370</v>
      </c>
      <c r="K10" s="318">
        <v>44144</v>
      </c>
      <c r="L10" s="318">
        <v>44418</v>
      </c>
      <c r="M10" s="318"/>
      <c r="N10" s="311">
        <f t="shared" si="0"/>
        <v>9.1029900332225928</v>
      </c>
      <c r="O10" s="311" t="s">
        <v>237</v>
      </c>
      <c r="P10" s="311"/>
      <c r="Q10" s="306">
        <f>267573-1</f>
        <v>267572</v>
      </c>
      <c r="R10" s="115">
        <v>46929</v>
      </c>
      <c r="S10" s="115">
        <v>38525</v>
      </c>
      <c r="T10" s="115">
        <v>0</v>
      </c>
      <c r="U10" s="115">
        <v>45735</v>
      </c>
      <c r="V10" s="242">
        <v>40858</v>
      </c>
      <c r="W10" s="115">
        <f>6750+26297</f>
        <v>33047</v>
      </c>
      <c r="X10" s="115">
        <v>43566</v>
      </c>
      <c r="Y10" s="115">
        <v>18912</v>
      </c>
      <c r="Z10" s="115">
        <v>0</v>
      </c>
      <c r="AA10" s="53"/>
      <c r="AB10" s="53"/>
      <c r="AC10" s="53"/>
      <c r="AD10" s="53"/>
      <c r="AE10" s="53"/>
      <c r="AF10" s="53"/>
      <c r="AG10" s="47"/>
      <c r="AH10" s="53">
        <f t="shared" si="1"/>
        <v>267572</v>
      </c>
      <c r="AI10" s="51"/>
      <c r="AJ10" s="218">
        <f t="shared" si="2"/>
        <v>0</v>
      </c>
    </row>
    <row r="11" spans="1:37" s="36" customFormat="1" ht="15.75" x14ac:dyDescent="0.25">
      <c r="A11" s="221" t="s">
        <v>33</v>
      </c>
      <c r="B11" s="309" t="s">
        <v>34</v>
      </c>
      <c r="C11" s="302" t="s">
        <v>368</v>
      </c>
      <c r="D11" s="302" t="s">
        <v>659</v>
      </c>
      <c r="E11" s="297" t="s">
        <v>618</v>
      </c>
      <c r="F11" s="302" t="s">
        <v>237</v>
      </c>
      <c r="G11" s="328">
        <v>44054</v>
      </c>
      <c r="H11" s="328">
        <v>44163</v>
      </c>
      <c r="I11" s="331">
        <f t="shared" si="3"/>
        <v>109</v>
      </c>
      <c r="J11" s="302" t="s">
        <v>370</v>
      </c>
      <c r="K11" s="318">
        <v>44144</v>
      </c>
      <c r="L11" s="318">
        <v>44410</v>
      </c>
      <c r="M11" s="318"/>
      <c r="N11" s="311">
        <f t="shared" si="0"/>
        <v>8.8372093023255811</v>
      </c>
      <c r="O11" s="311" t="s">
        <v>237</v>
      </c>
      <c r="P11" s="311"/>
      <c r="Q11" s="306">
        <v>231276</v>
      </c>
      <c r="R11" s="115">
        <v>34010</v>
      </c>
      <c r="S11" s="115">
        <v>31345</v>
      </c>
      <c r="T11" s="115">
        <v>0</v>
      </c>
      <c r="U11" s="115">
        <v>42608</v>
      </c>
      <c r="V11" s="242">
        <v>27037</v>
      </c>
      <c r="W11" s="115">
        <f>9333+19266</f>
        <v>28599</v>
      </c>
      <c r="X11" s="115">
        <v>46383</v>
      </c>
      <c r="Y11" s="115">
        <f>6580+13609</f>
        <v>20189</v>
      </c>
      <c r="Z11" s="115">
        <v>1105</v>
      </c>
      <c r="AA11" s="53"/>
      <c r="AB11" s="53"/>
      <c r="AC11" s="53"/>
      <c r="AD11" s="53"/>
      <c r="AE11" s="53"/>
      <c r="AF11" s="53"/>
      <c r="AG11" s="47"/>
      <c r="AH11" s="53">
        <f t="shared" si="1"/>
        <v>231276</v>
      </c>
      <c r="AI11" s="51"/>
      <c r="AJ11" s="218">
        <f t="shared" si="2"/>
        <v>0</v>
      </c>
      <c r="AK11" s="36" t="s">
        <v>550</v>
      </c>
    </row>
    <row r="12" spans="1:37" s="36" customFormat="1" ht="15.75" x14ac:dyDescent="0.25">
      <c r="A12" s="221" t="s">
        <v>35</v>
      </c>
      <c r="B12" s="309" t="s">
        <v>36</v>
      </c>
      <c r="C12" s="310" t="s">
        <v>368</v>
      </c>
      <c r="D12" s="310" t="s">
        <v>401</v>
      </c>
      <c r="E12" s="297" t="s">
        <v>37</v>
      </c>
      <c r="F12" s="302" t="s">
        <v>237</v>
      </c>
      <c r="G12" s="318">
        <v>44098</v>
      </c>
      <c r="H12" s="318">
        <v>44166</v>
      </c>
      <c r="I12" s="331">
        <f t="shared" si="3"/>
        <v>68</v>
      </c>
      <c r="J12" s="302" t="s">
        <v>370</v>
      </c>
      <c r="K12" s="318">
        <v>44241</v>
      </c>
      <c r="L12" s="318">
        <v>44412</v>
      </c>
      <c r="M12" s="318"/>
      <c r="N12" s="311">
        <f t="shared" si="0"/>
        <v>5.6810631229235877</v>
      </c>
      <c r="O12" s="311" t="s">
        <v>237</v>
      </c>
      <c r="P12" s="311"/>
      <c r="Q12" s="306">
        <v>984546</v>
      </c>
      <c r="R12" s="115">
        <v>230830</v>
      </c>
      <c r="S12" s="115">
        <v>155142</v>
      </c>
      <c r="T12" s="115">
        <v>20934</v>
      </c>
      <c r="U12" s="115">
        <v>247073</v>
      </c>
      <c r="V12" s="242">
        <v>88548</v>
      </c>
      <c r="W12" s="115">
        <f>14953+98288</f>
        <v>113241</v>
      </c>
      <c r="X12" s="115">
        <v>61708</v>
      </c>
      <c r="Y12" s="115">
        <v>67070</v>
      </c>
      <c r="Z12" s="115">
        <v>0</v>
      </c>
      <c r="AA12" s="53"/>
      <c r="AB12" s="53"/>
      <c r="AC12" s="53"/>
      <c r="AD12" s="53"/>
      <c r="AE12" s="53"/>
      <c r="AF12" s="53"/>
      <c r="AG12" s="47"/>
      <c r="AH12" s="53">
        <f t="shared" si="1"/>
        <v>984546</v>
      </c>
      <c r="AI12" s="51"/>
      <c r="AJ12" s="218">
        <f t="shared" si="2"/>
        <v>0</v>
      </c>
    </row>
    <row r="13" spans="1:37" s="36" customFormat="1" ht="15.75" x14ac:dyDescent="0.25">
      <c r="A13" s="34" t="s">
        <v>170</v>
      </c>
      <c r="B13" s="35" t="s">
        <v>621</v>
      </c>
      <c r="C13" s="52" t="s">
        <v>368</v>
      </c>
      <c r="D13" s="52" t="s">
        <v>402</v>
      </c>
      <c r="E13" s="300" t="s">
        <v>172</v>
      </c>
      <c r="F13" s="52" t="s">
        <v>46</v>
      </c>
      <c r="G13" s="329">
        <v>44201</v>
      </c>
      <c r="H13" s="329">
        <v>44302</v>
      </c>
      <c r="I13" s="346">
        <f t="shared" si="3"/>
        <v>101</v>
      </c>
      <c r="J13" s="299" t="s">
        <v>370</v>
      </c>
      <c r="K13" s="329">
        <v>44415</v>
      </c>
      <c r="L13" s="298">
        <v>44558</v>
      </c>
      <c r="M13" s="298"/>
      <c r="N13" s="50">
        <f t="shared" si="0"/>
        <v>4.750830564784053</v>
      </c>
      <c r="O13" s="50"/>
      <c r="P13" s="50"/>
      <c r="Q13" s="182">
        <v>1051400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f>111250</f>
        <v>111250</v>
      </c>
      <c r="Y13" s="115">
        <v>14446</v>
      </c>
      <c r="Z13" s="115">
        <v>326666</v>
      </c>
      <c r="AA13" s="275">
        <v>150000</v>
      </c>
      <c r="AB13" s="275">
        <v>150000</v>
      </c>
      <c r="AC13" s="275">
        <v>150000</v>
      </c>
      <c r="AD13" s="275">
        <v>90000</v>
      </c>
      <c r="AE13" s="275">
        <v>75150</v>
      </c>
      <c r="AF13" s="53"/>
      <c r="AG13" s="47"/>
      <c r="AH13" s="53">
        <f t="shared" si="1"/>
        <v>1067512</v>
      </c>
      <c r="AI13" s="51"/>
      <c r="AJ13" s="218">
        <f t="shared" si="2"/>
        <v>16112</v>
      </c>
    </row>
    <row r="14" spans="1:37" s="36" customFormat="1" ht="15.75" x14ac:dyDescent="0.25">
      <c r="A14" s="297" t="s">
        <v>41</v>
      </c>
      <c r="B14" s="314" t="s">
        <v>42</v>
      </c>
      <c r="C14" s="302" t="s">
        <v>368</v>
      </c>
      <c r="D14" s="302" t="s">
        <v>402</v>
      </c>
      <c r="E14" s="297" t="s">
        <v>43</v>
      </c>
      <c r="F14" s="302" t="s">
        <v>237</v>
      </c>
      <c r="G14" s="318">
        <v>44225</v>
      </c>
      <c r="H14" s="318">
        <f>G14+35</f>
        <v>44260</v>
      </c>
      <c r="I14" s="331">
        <f t="shared" si="3"/>
        <v>35</v>
      </c>
      <c r="J14" s="302" t="s">
        <v>370</v>
      </c>
      <c r="K14" s="318">
        <v>44256</v>
      </c>
      <c r="L14" s="318">
        <v>44393</v>
      </c>
      <c r="M14" s="318"/>
      <c r="N14" s="305">
        <f t="shared" si="0"/>
        <v>4.5514950166112964</v>
      </c>
      <c r="O14" s="305" t="s">
        <v>237</v>
      </c>
      <c r="P14" s="305"/>
      <c r="Q14" s="306">
        <f>723063-1</f>
        <v>723062</v>
      </c>
      <c r="R14" s="115">
        <v>0</v>
      </c>
      <c r="S14" s="115">
        <v>0</v>
      </c>
      <c r="T14" s="115">
        <v>0</v>
      </c>
      <c r="U14" s="115">
        <v>79004</v>
      </c>
      <c r="V14" s="242">
        <v>201430</v>
      </c>
      <c r="W14" s="115">
        <f>30182+141103</f>
        <v>171285</v>
      </c>
      <c r="X14" s="115">
        <v>187324</v>
      </c>
      <c r="Y14" s="115">
        <v>84019</v>
      </c>
      <c r="Z14" s="115">
        <v>0</v>
      </c>
      <c r="AA14" s="58"/>
      <c r="AB14" s="58"/>
      <c r="AC14" s="58"/>
      <c r="AD14" s="53"/>
      <c r="AE14" s="53"/>
      <c r="AF14" s="53"/>
      <c r="AG14" s="47"/>
      <c r="AH14" s="53">
        <f t="shared" si="1"/>
        <v>723062</v>
      </c>
      <c r="AI14" s="51"/>
      <c r="AJ14" s="218">
        <f t="shared" si="2"/>
        <v>0</v>
      </c>
    </row>
    <row r="15" spans="1:37" s="36" customFormat="1" ht="15.75" x14ac:dyDescent="0.25">
      <c r="A15" s="111" t="s">
        <v>174</v>
      </c>
      <c r="B15" s="112" t="s">
        <v>175</v>
      </c>
      <c r="C15" s="299" t="s">
        <v>368</v>
      </c>
      <c r="D15" s="299" t="s">
        <v>402</v>
      </c>
      <c r="E15" s="300" t="s">
        <v>172</v>
      </c>
      <c r="F15" s="299" t="s">
        <v>46</v>
      </c>
      <c r="G15" s="329">
        <v>44362</v>
      </c>
      <c r="H15" s="329">
        <v>44418</v>
      </c>
      <c r="I15" s="346">
        <f t="shared" si="3"/>
        <v>56</v>
      </c>
      <c r="J15" s="52" t="s">
        <v>370</v>
      </c>
      <c r="K15" s="329">
        <v>44382</v>
      </c>
      <c r="L15" s="298">
        <v>44558</v>
      </c>
      <c r="M15" s="298"/>
      <c r="N15" s="50">
        <f t="shared" si="0"/>
        <v>5.8471760797342194</v>
      </c>
      <c r="O15" s="50"/>
      <c r="P15" s="50"/>
      <c r="Q15" s="182">
        <v>1367414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210">
        <v>99756</v>
      </c>
      <c r="AA15" s="275">
        <v>250000</v>
      </c>
      <c r="AB15" s="275">
        <v>250000</v>
      </c>
      <c r="AC15" s="275">
        <v>250000</v>
      </c>
      <c r="AD15" s="275">
        <v>250000</v>
      </c>
      <c r="AE15" s="275">
        <v>92414</v>
      </c>
      <c r="AF15" s="53"/>
      <c r="AG15" s="47"/>
      <c r="AH15" s="53">
        <f t="shared" si="1"/>
        <v>1192170</v>
      </c>
      <c r="AI15" s="51"/>
      <c r="AJ15" s="218">
        <f t="shared" si="2"/>
        <v>-175244</v>
      </c>
    </row>
    <row r="16" spans="1:37" s="36" customFormat="1" ht="15.75" x14ac:dyDescent="0.25">
      <c r="A16" s="113" t="s">
        <v>176</v>
      </c>
      <c r="B16" s="114" t="s">
        <v>177</v>
      </c>
      <c r="C16" s="52" t="s">
        <v>368</v>
      </c>
      <c r="D16" s="299" t="s">
        <v>402</v>
      </c>
      <c r="E16" s="114" t="s">
        <v>642</v>
      </c>
      <c r="F16" s="299" t="s">
        <v>46</v>
      </c>
      <c r="G16" s="330">
        <v>44367</v>
      </c>
      <c r="H16" s="329">
        <v>44423</v>
      </c>
      <c r="I16" s="333">
        <f>H16-G16</f>
        <v>56</v>
      </c>
      <c r="J16" s="52" t="s">
        <v>370</v>
      </c>
      <c r="K16" s="52">
        <v>44445</v>
      </c>
      <c r="L16" s="52">
        <v>44558</v>
      </c>
      <c r="M16" s="52"/>
      <c r="N16" s="50">
        <f>((L16-K16)/7)/4.3</f>
        <v>3.7541528239202657</v>
      </c>
      <c r="O16" s="50"/>
      <c r="P16" s="50"/>
      <c r="Q16" s="53">
        <v>280000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275">
        <v>50000</v>
      </c>
      <c r="AB16" s="275">
        <v>50000</v>
      </c>
      <c r="AC16" s="275">
        <v>50000</v>
      </c>
      <c r="AD16" s="275">
        <v>50000</v>
      </c>
      <c r="AE16" s="275">
        <v>80000</v>
      </c>
      <c r="AF16" s="53"/>
      <c r="AG16" s="47"/>
      <c r="AH16" s="53">
        <f>SUM(R16:AG16)</f>
        <v>280000</v>
      </c>
      <c r="AI16" s="51"/>
      <c r="AJ16" s="218">
        <f t="shared" si="2"/>
        <v>0</v>
      </c>
    </row>
    <row r="17" spans="1:36" s="36" customFormat="1" ht="15.75" x14ac:dyDescent="0.25">
      <c r="A17" s="312" t="s">
        <v>47</v>
      </c>
      <c r="B17" s="313" t="s">
        <v>48</v>
      </c>
      <c r="C17" s="310" t="s">
        <v>368</v>
      </c>
      <c r="D17" s="310" t="s">
        <v>401</v>
      </c>
      <c r="E17" s="313" t="s">
        <v>646</v>
      </c>
      <c r="F17" s="310" t="s">
        <v>237</v>
      </c>
      <c r="G17" s="328">
        <v>44166</v>
      </c>
      <c r="H17" s="328">
        <v>44186</v>
      </c>
      <c r="I17" s="331">
        <f t="shared" si="3"/>
        <v>20</v>
      </c>
      <c r="J17" s="302" t="s">
        <v>370</v>
      </c>
      <c r="K17" s="328">
        <v>44228</v>
      </c>
      <c r="L17" s="318">
        <v>44286</v>
      </c>
      <c r="M17" s="318"/>
      <c r="N17" s="311">
        <f t="shared" si="0"/>
        <v>1.9269102990033224</v>
      </c>
      <c r="O17" s="311" t="s">
        <v>237</v>
      </c>
      <c r="P17" s="311"/>
      <c r="Q17" s="306">
        <v>81500</v>
      </c>
      <c r="R17" s="115">
        <v>0</v>
      </c>
      <c r="S17" s="115">
        <v>0</v>
      </c>
      <c r="T17" s="115">
        <v>0</v>
      </c>
      <c r="U17" s="115">
        <v>81500</v>
      </c>
      <c r="V17" s="242">
        <v>0</v>
      </c>
      <c r="W17" s="115">
        <v>0</v>
      </c>
      <c r="X17" s="115">
        <v>0</v>
      </c>
      <c r="Y17" s="115">
        <v>0</v>
      </c>
      <c r="Z17" s="115">
        <v>0</v>
      </c>
      <c r="AA17" s="53"/>
      <c r="AB17" s="53"/>
      <c r="AC17" s="53"/>
      <c r="AD17" s="53"/>
      <c r="AE17" s="53"/>
      <c r="AF17" s="53"/>
      <c r="AG17" s="47"/>
      <c r="AH17" s="53">
        <f t="shared" si="1"/>
        <v>81500</v>
      </c>
      <c r="AI17" s="51"/>
      <c r="AJ17" s="218">
        <f t="shared" si="2"/>
        <v>0</v>
      </c>
    </row>
    <row r="18" spans="1:36" s="36" customFormat="1" ht="15.75" x14ac:dyDescent="0.25">
      <c r="A18" s="113" t="s">
        <v>678</v>
      </c>
      <c r="B18" s="114" t="s">
        <v>599</v>
      </c>
      <c r="C18" s="87" t="s">
        <v>368</v>
      </c>
      <c r="D18" s="52" t="s">
        <v>401</v>
      </c>
      <c r="E18" s="35" t="s">
        <v>707</v>
      </c>
      <c r="F18" s="52" t="s">
        <v>46</v>
      </c>
      <c r="G18" s="330">
        <v>44391</v>
      </c>
      <c r="H18" s="347">
        <v>44454</v>
      </c>
      <c r="I18" s="50">
        <f>H18-G18</f>
        <v>63</v>
      </c>
      <c r="J18" s="52" t="s">
        <v>320</v>
      </c>
      <c r="K18" s="52"/>
      <c r="L18" s="52"/>
      <c r="M18" s="52"/>
      <c r="N18" s="50">
        <f>((L18-K18)/7)/4.3</f>
        <v>0</v>
      </c>
      <c r="O18" s="50"/>
      <c r="P18" s="50"/>
      <c r="Q18" s="53">
        <v>1225500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275">
        <v>100000</v>
      </c>
      <c r="AB18" s="275">
        <v>150000</v>
      </c>
      <c r="AC18" s="275">
        <v>250000</v>
      </c>
      <c r="AD18" s="275">
        <v>250000</v>
      </c>
      <c r="AE18" s="275">
        <v>475500</v>
      </c>
      <c r="AF18" s="53"/>
      <c r="AG18" s="47"/>
      <c r="AH18" s="53">
        <f>SUM(R18:AG18)</f>
        <v>1225500</v>
      </c>
      <c r="AI18" s="51"/>
      <c r="AJ18" s="218">
        <f t="shared" si="2"/>
        <v>0</v>
      </c>
    </row>
    <row r="19" spans="1:36" s="36" customFormat="1" ht="15.75" x14ac:dyDescent="0.25">
      <c r="A19" s="113" t="s">
        <v>486</v>
      </c>
      <c r="B19" s="114" t="s">
        <v>601</v>
      </c>
      <c r="C19" s="87" t="s">
        <v>368</v>
      </c>
      <c r="D19" s="52" t="s">
        <v>401</v>
      </c>
      <c r="E19" s="35" t="s">
        <v>705</v>
      </c>
      <c r="F19" s="52" t="s">
        <v>46</v>
      </c>
      <c r="G19" s="330">
        <v>44391</v>
      </c>
      <c r="H19" s="347">
        <v>44454</v>
      </c>
      <c r="I19" s="50">
        <f>H19-G19</f>
        <v>63</v>
      </c>
      <c r="J19" s="52" t="s">
        <v>320</v>
      </c>
      <c r="K19" s="52"/>
      <c r="L19" s="52"/>
      <c r="M19" s="52"/>
      <c r="N19" s="50">
        <f>((L19-K19)/7)/4.3</f>
        <v>0</v>
      </c>
      <c r="O19" s="50"/>
      <c r="P19" s="50"/>
      <c r="Q19" s="53">
        <v>242554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58"/>
      <c r="AB19" s="275">
        <v>25000</v>
      </c>
      <c r="AC19" s="275">
        <v>50000</v>
      </c>
      <c r="AD19" s="275">
        <v>50000</v>
      </c>
      <c r="AE19" s="275">
        <v>117554</v>
      </c>
      <c r="AF19" s="53"/>
      <c r="AG19" s="47"/>
      <c r="AH19" s="53">
        <f>SUM(R19:AG19)</f>
        <v>242554</v>
      </c>
      <c r="AI19" s="51"/>
      <c r="AJ19" s="218">
        <f t="shared" si="2"/>
        <v>0</v>
      </c>
    </row>
    <row r="20" spans="1:36" s="36" customFormat="1" ht="15.75" x14ac:dyDescent="0.25">
      <c r="A20" s="113" t="s">
        <v>679</v>
      </c>
      <c r="B20" s="114" t="s">
        <v>600</v>
      </c>
      <c r="C20" s="87" t="s">
        <v>368</v>
      </c>
      <c r="D20" s="52" t="s">
        <v>401</v>
      </c>
      <c r="E20" s="35" t="s">
        <v>706</v>
      </c>
      <c r="F20" s="52" t="s">
        <v>46</v>
      </c>
      <c r="G20" s="330">
        <v>44414</v>
      </c>
      <c r="H20" s="347">
        <v>44454</v>
      </c>
      <c r="I20" s="50">
        <f>H20-G20</f>
        <v>40</v>
      </c>
      <c r="J20" s="52" t="s">
        <v>320</v>
      </c>
      <c r="K20" s="52"/>
      <c r="L20" s="52"/>
      <c r="M20" s="52"/>
      <c r="N20" s="50">
        <f>((L20-K20)/7)/4.3</f>
        <v>0</v>
      </c>
      <c r="O20" s="50"/>
      <c r="P20" s="50"/>
      <c r="Q20" s="53">
        <v>380405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58"/>
      <c r="AB20" s="275">
        <v>25000</v>
      </c>
      <c r="AC20" s="275">
        <v>50000</v>
      </c>
      <c r="AD20" s="275">
        <v>50000</v>
      </c>
      <c r="AE20" s="275">
        <v>255405</v>
      </c>
      <c r="AF20" s="53"/>
      <c r="AG20" s="47"/>
      <c r="AH20" s="53">
        <f>SUM(R20:AG20)</f>
        <v>380405</v>
      </c>
      <c r="AI20" s="51"/>
      <c r="AJ20" s="218">
        <f t="shared" si="2"/>
        <v>0</v>
      </c>
    </row>
    <row r="21" spans="1:36" s="36" customFormat="1" ht="15.75" x14ac:dyDescent="0.25">
      <c r="A21" s="95"/>
      <c r="B21" s="95"/>
      <c r="C21" s="91"/>
      <c r="D21" s="91"/>
      <c r="E21" s="95"/>
      <c r="F21" s="91"/>
      <c r="G21" s="91"/>
      <c r="H21" s="91"/>
      <c r="I21" s="92"/>
      <c r="J21" s="91"/>
      <c r="K21" s="91"/>
      <c r="L21" s="91"/>
      <c r="M21" s="91"/>
      <c r="N21" s="92"/>
      <c r="O21" s="92"/>
      <c r="P21" s="92"/>
      <c r="Q21" s="243">
        <f>SUM(Q4:Q20)</f>
        <v>11302066</v>
      </c>
      <c r="R21" s="243">
        <f t="shared" ref="R21:AF21" si="4">SUM(R4:R20)</f>
        <v>2047245</v>
      </c>
      <c r="S21" s="243">
        <f t="shared" si="4"/>
        <v>702828</v>
      </c>
      <c r="T21" s="243">
        <f t="shared" si="4"/>
        <v>153598</v>
      </c>
      <c r="U21" s="243">
        <f t="shared" si="4"/>
        <v>849658</v>
      </c>
      <c r="V21" s="243">
        <f t="shared" si="4"/>
        <v>538775</v>
      </c>
      <c r="W21" s="243">
        <f t="shared" si="4"/>
        <v>755703</v>
      </c>
      <c r="X21" s="243">
        <f t="shared" si="4"/>
        <v>739337</v>
      </c>
      <c r="Y21" s="243">
        <f t="shared" si="4"/>
        <v>204636</v>
      </c>
      <c r="Z21" s="243">
        <f t="shared" si="4"/>
        <v>810992</v>
      </c>
      <c r="AA21" s="243">
        <f t="shared" si="4"/>
        <v>700000</v>
      </c>
      <c r="AB21" s="243">
        <f t="shared" si="4"/>
        <v>800000</v>
      </c>
      <c r="AC21" s="243">
        <f t="shared" si="4"/>
        <v>950000</v>
      </c>
      <c r="AD21" s="243">
        <f t="shared" si="4"/>
        <v>830000</v>
      </c>
      <c r="AE21" s="243">
        <f t="shared" si="4"/>
        <v>1143627</v>
      </c>
      <c r="AF21" s="243">
        <f t="shared" si="4"/>
        <v>0</v>
      </c>
      <c r="AG21" s="47"/>
      <c r="AH21" s="59">
        <f t="shared" si="1"/>
        <v>11226399</v>
      </c>
      <c r="AI21" s="51"/>
      <c r="AJ21" s="218">
        <f t="shared" si="2"/>
        <v>-75667</v>
      </c>
    </row>
    <row r="22" spans="1:36" s="36" customFormat="1" ht="15.75" x14ac:dyDescent="0.25">
      <c r="A22" s="106" t="s">
        <v>119</v>
      </c>
      <c r="B22" s="107"/>
      <c r="C22" s="101" t="s">
        <v>387</v>
      </c>
      <c r="D22" s="102"/>
      <c r="E22" s="107"/>
      <c r="F22" s="102"/>
      <c r="G22" s="276"/>
      <c r="H22" s="276"/>
      <c r="I22" s="84"/>
      <c r="J22" s="102"/>
      <c r="K22" s="102"/>
      <c r="L22" s="102"/>
      <c r="M22" s="102"/>
      <c r="N22" s="84"/>
      <c r="O22" s="84"/>
      <c r="P22" s="84"/>
      <c r="Q22" s="193"/>
      <c r="R22" s="85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47"/>
      <c r="AH22" s="85"/>
      <c r="AI22" s="51"/>
      <c r="AJ22" s="218">
        <f t="shared" si="2"/>
        <v>0</v>
      </c>
    </row>
    <row r="23" spans="1:36" s="36" customFormat="1" ht="15.75" x14ac:dyDescent="0.25">
      <c r="A23" s="221" t="s">
        <v>116</v>
      </c>
      <c r="B23" s="309" t="s">
        <v>117</v>
      </c>
      <c r="C23" s="310" t="s">
        <v>387</v>
      </c>
      <c r="D23" s="310" t="s">
        <v>402</v>
      </c>
      <c r="E23" s="315" t="s">
        <v>624</v>
      </c>
      <c r="F23" s="310" t="s">
        <v>237</v>
      </c>
      <c r="G23" s="318">
        <v>44317</v>
      </c>
      <c r="H23" s="318">
        <v>44378</v>
      </c>
      <c r="I23" s="331">
        <f>H23-G23</f>
        <v>61</v>
      </c>
      <c r="J23" s="310" t="s">
        <v>370</v>
      </c>
      <c r="K23" s="318">
        <v>44075</v>
      </c>
      <c r="L23" s="318">
        <v>44286</v>
      </c>
      <c r="M23" s="318"/>
      <c r="N23" s="311">
        <f>((L23-K23)/7)/4.3</f>
        <v>7.0099667774086383</v>
      </c>
      <c r="O23" s="311" t="s">
        <v>237</v>
      </c>
      <c r="P23" s="311"/>
      <c r="Q23" s="306">
        <v>940687</v>
      </c>
      <c r="R23" s="115">
        <v>720455</v>
      </c>
      <c r="S23" s="115">
        <v>114649</v>
      </c>
      <c r="T23" s="115">
        <v>0</v>
      </c>
      <c r="U23" s="115">
        <v>105583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47"/>
      <c r="AH23" s="53">
        <f>SUM(R23:AG23)</f>
        <v>940687</v>
      </c>
      <c r="AI23" s="51"/>
      <c r="AJ23" s="218">
        <f t="shared" si="2"/>
        <v>0</v>
      </c>
    </row>
    <row r="24" spans="1:36" s="36" customFormat="1" ht="15.75" x14ac:dyDescent="0.25">
      <c r="A24" s="222" t="s">
        <v>121</v>
      </c>
      <c r="B24" s="315" t="s">
        <v>122</v>
      </c>
      <c r="C24" s="310" t="s">
        <v>387</v>
      </c>
      <c r="D24" s="310" t="s">
        <v>402</v>
      </c>
      <c r="E24" s="315" t="s">
        <v>123</v>
      </c>
      <c r="F24" s="310" t="s">
        <v>237</v>
      </c>
      <c r="G24" s="318">
        <v>44317</v>
      </c>
      <c r="H24" s="318">
        <v>44378</v>
      </c>
      <c r="I24" s="331">
        <f>H24-G24</f>
        <v>61</v>
      </c>
      <c r="J24" s="310" t="s">
        <v>370</v>
      </c>
      <c r="K24" s="318">
        <v>44136</v>
      </c>
      <c r="L24" s="318">
        <v>44286</v>
      </c>
      <c r="M24" s="318"/>
      <c r="N24" s="311">
        <f>((L24-K24)/7)/4.3</f>
        <v>4.9833887043189371</v>
      </c>
      <c r="O24" s="311" t="s">
        <v>237</v>
      </c>
      <c r="P24" s="311"/>
      <c r="Q24" s="306">
        <v>226188</v>
      </c>
      <c r="R24" s="115">
        <v>64622</v>
      </c>
      <c r="S24" s="115">
        <v>39562</v>
      </c>
      <c r="T24" s="115">
        <v>18328</v>
      </c>
      <c r="U24" s="115">
        <v>101052</v>
      </c>
      <c r="V24" s="115">
        <v>2624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47"/>
      <c r="AH24" s="53">
        <f>SUM(R24:AG24)</f>
        <v>226188</v>
      </c>
      <c r="AI24" s="51"/>
      <c r="AJ24" s="218">
        <f t="shared" si="2"/>
        <v>0</v>
      </c>
    </row>
    <row r="25" spans="1:36" s="36" customFormat="1" ht="15.75" x14ac:dyDescent="0.25">
      <c r="A25" s="222" t="s">
        <v>124</v>
      </c>
      <c r="B25" s="315" t="s">
        <v>125</v>
      </c>
      <c r="C25" s="310" t="s">
        <v>387</v>
      </c>
      <c r="D25" s="310" t="s">
        <v>402</v>
      </c>
      <c r="E25" s="315" t="s">
        <v>126</v>
      </c>
      <c r="F25" s="310" t="s">
        <v>237</v>
      </c>
      <c r="G25" s="318">
        <v>44317</v>
      </c>
      <c r="H25" s="318">
        <v>44378</v>
      </c>
      <c r="I25" s="331">
        <f>H25-G25</f>
        <v>61</v>
      </c>
      <c r="J25" s="310" t="s">
        <v>370</v>
      </c>
      <c r="K25" s="318">
        <v>44136</v>
      </c>
      <c r="L25" s="318">
        <v>44286</v>
      </c>
      <c r="M25" s="318"/>
      <c r="N25" s="311">
        <f>((L25-K25)/7)/4.3</f>
        <v>4.9833887043189371</v>
      </c>
      <c r="O25" s="311" t="s">
        <v>237</v>
      </c>
      <c r="P25" s="311"/>
      <c r="Q25" s="306">
        <v>315962</v>
      </c>
      <c r="R25" s="115">
        <v>124791</v>
      </c>
      <c r="S25" s="115">
        <v>64927</v>
      </c>
      <c r="T25" s="115">
        <v>25844</v>
      </c>
      <c r="U25" s="115">
        <v>98461</v>
      </c>
      <c r="V25" s="115">
        <v>1939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47"/>
      <c r="AH25" s="53">
        <f>SUM(R25:AG25)</f>
        <v>315962</v>
      </c>
      <c r="AI25" s="51"/>
      <c r="AJ25" s="218">
        <f t="shared" si="2"/>
        <v>0</v>
      </c>
    </row>
    <row r="26" spans="1:36" s="36" customFormat="1" ht="15.75" x14ac:dyDescent="0.25">
      <c r="A26" s="97"/>
      <c r="B26" s="98"/>
      <c r="C26" s="91"/>
      <c r="D26" s="91"/>
      <c r="E26" s="98"/>
      <c r="F26" s="91"/>
      <c r="G26" s="91"/>
      <c r="H26" s="91"/>
      <c r="I26" s="92"/>
      <c r="J26" s="91"/>
      <c r="K26" s="91"/>
      <c r="L26" s="91"/>
      <c r="M26" s="91"/>
      <c r="N26" s="92"/>
      <c r="O26" s="92"/>
      <c r="P26" s="92"/>
      <c r="Q26" s="59">
        <f>SUM(Q23:Q25)</f>
        <v>1482837</v>
      </c>
      <c r="R26" s="59">
        <f>SUM(R23:R25)</f>
        <v>909868</v>
      </c>
      <c r="S26" s="59">
        <f>SUM(S23:S25)</f>
        <v>219138</v>
      </c>
      <c r="T26" s="59">
        <f t="shared" ref="T26:AD26" si="5">SUM(T23:T25)</f>
        <v>44172</v>
      </c>
      <c r="U26" s="59">
        <f t="shared" si="5"/>
        <v>305096</v>
      </c>
      <c r="V26" s="59">
        <f t="shared" si="5"/>
        <v>4563</v>
      </c>
      <c r="W26" s="59">
        <f t="shared" si="5"/>
        <v>0</v>
      </c>
      <c r="X26" s="59">
        <f t="shared" si="5"/>
        <v>0</v>
      </c>
      <c r="Y26" s="59">
        <f t="shared" si="5"/>
        <v>0</v>
      </c>
      <c r="Z26" s="59">
        <f t="shared" si="5"/>
        <v>0</v>
      </c>
      <c r="AA26" s="59">
        <f t="shared" si="5"/>
        <v>0</v>
      </c>
      <c r="AB26" s="59">
        <f t="shared" si="5"/>
        <v>0</v>
      </c>
      <c r="AC26" s="59">
        <f t="shared" si="5"/>
        <v>0</v>
      </c>
      <c r="AD26" s="59">
        <f t="shared" si="5"/>
        <v>0</v>
      </c>
      <c r="AE26" s="59">
        <f>SUM(AE23:AE25)</f>
        <v>0</v>
      </c>
      <c r="AF26" s="59">
        <f>SUM(AF23:AF25)</f>
        <v>0</v>
      </c>
      <c r="AG26" s="47"/>
      <c r="AH26" s="53">
        <f>SUM(R26:AG26)</f>
        <v>1482837</v>
      </c>
      <c r="AI26" s="51"/>
      <c r="AJ26" s="218">
        <f t="shared" si="2"/>
        <v>0</v>
      </c>
    </row>
    <row r="27" spans="1:36" s="36" customFormat="1" ht="15.75" x14ac:dyDescent="0.25">
      <c r="A27" s="106" t="s">
        <v>379</v>
      </c>
      <c r="B27" s="107"/>
      <c r="C27" s="101" t="s">
        <v>380</v>
      </c>
      <c r="D27" s="102"/>
      <c r="E27" s="107"/>
      <c r="F27" s="102"/>
      <c r="G27" s="276"/>
      <c r="H27" s="276"/>
      <c r="I27" s="84"/>
      <c r="J27" s="102"/>
      <c r="K27" s="102"/>
      <c r="L27" s="102"/>
      <c r="M27" s="102"/>
      <c r="N27" s="84"/>
      <c r="O27" s="84"/>
      <c r="P27" s="84"/>
      <c r="Q27" s="193"/>
      <c r="R27" s="8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47"/>
      <c r="AH27" s="85"/>
      <c r="AI27" s="51"/>
      <c r="AJ27" s="218">
        <f t="shared" si="2"/>
        <v>0</v>
      </c>
    </row>
    <row r="28" spans="1:36" s="36" customFormat="1" ht="15.75" x14ac:dyDescent="0.25">
      <c r="A28" s="319" t="s">
        <v>546</v>
      </c>
      <c r="B28" s="319" t="s">
        <v>610</v>
      </c>
      <c r="C28" s="321" t="s">
        <v>380</v>
      </c>
      <c r="D28" s="321" t="s">
        <v>575</v>
      </c>
      <c r="E28" s="319" t="s">
        <v>682</v>
      </c>
      <c r="F28" s="321" t="s">
        <v>46</v>
      </c>
      <c r="G28" s="332" t="s">
        <v>24</v>
      </c>
      <c r="H28" s="332" t="s">
        <v>24</v>
      </c>
      <c r="I28" s="343" t="s">
        <v>24</v>
      </c>
      <c r="J28" s="332" t="s">
        <v>24</v>
      </c>
      <c r="K28" s="332">
        <v>44330</v>
      </c>
      <c r="L28" s="332">
        <v>44391</v>
      </c>
      <c r="M28" s="321"/>
      <c r="N28" s="322">
        <f t="shared" ref="N28:N35" si="6">((L28-K28)/7)/4.3</f>
        <v>2.0265780730897007</v>
      </c>
      <c r="O28" s="322"/>
      <c r="P28" s="322"/>
      <c r="Q28" s="323">
        <v>46806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46806</v>
      </c>
      <c r="AA28" s="53"/>
      <c r="AB28" s="53"/>
      <c r="AC28" s="53"/>
      <c r="AD28" s="53"/>
      <c r="AE28" s="53"/>
      <c r="AF28" s="53"/>
      <c r="AG28" s="47"/>
      <c r="AH28" s="53">
        <f>SUM(R28:AG28)</f>
        <v>46806</v>
      </c>
      <c r="AI28" s="51"/>
      <c r="AJ28" s="218">
        <f t="shared" si="2"/>
        <v>0</v>
      </c>
    </row>
    <row r="29" spans="1:36" s="36" customFormat="1" ht="15.75" x14ac:dyDescent="0.25">
      <c r="A29" s="60" t="s">
        <v>495</v>
      </c>
      <c r="B29" s="61" t="s">
        <v>712</v>
      </c>
      <c r="C29" s="52" t="s">
        <v>380</v>
      </c>
      <c r="D29" s="52" t="s">
        <v>575</v>
      </c>
      <c r="E29" s="61" t="s">
        <v>264</v>
      </c>
      <c r="F29" s="52" t="s">
        <v>46</v>
      </c>
      <c r="G29" s="330">
        <v>44348</v>
      </c>
      <c r="H29" s="330">
        <v>44362</v>
      </c>
      <c r="I29" s="333">
        <f>H29-G29</f>
        <v>14</v>
      </c>
      <c r="J29" s="52" t="s">
        <v>370</v>
      </c>
      <c r="K29" s="330">
        <v>44344</v>
      </c>
      <c r="L29" s="52">
        <v>44470</v>
      </c>
      <c r="M29" s="52"/>
      <c r="N29" s="50">
        <f t="shared" si="6"/>
        <v>4.1860465116279073</v>
      </c>
      <c r="O29" s="50"/>
      <c r="P29" s="50"/>
      <c r="Q29" s="182">
        <v>89125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58100</v>
      </c>
      <c r="AA29" s="275">
        <v>35000</v>
      </c>
      <c r="AB29" s="275">
        <v>34125</v>
      </c>
      <c r="AC29" s="58"/>
      <c r="AD29" s="58"/>
      <c r="AE29" s="58"/>
      <c r="AF29" s="53"/>
      <c r="AG29" s="47"/>
      <c r="AH29" s="53">
        <f>SUM(R29:AG29)</f>
        <v>127225</v>
      </c>
      <c r="AI29" s="51"/>
      <c r="AJ29" s="218">
        <f t="shared" si="2"/>
        <v>38100</v>
      </c>
    </row>
    <row r="30" spans="1:36" s="36" customFormat="1" ht="15.75" x14ac:dyDescent="0.25">
      <c r="A30" s="60" t="s">
        <v>551</v>
      </c>
      <c r="B30" s="61" t="s">
        <v>713</v>
      </c>
      <c r="C30" s="52" t="s">
        <v>380</v>
      </c>
      <c r="D30" s="52" t="s">
        <v>575</v>
      </c>
      <c r="E30" s="61" t="s">
        <v>625</v>
      </c>
      <c r="F30" s="52" t="s">
        <v>46</v>
      </c>
      <c r="G30" s="330">
        <v>44348</v>
      </c>
      <c r="H30" s="330">
        <v>44362</v>
      </c>
      <c r="I30" s="333">
        <f t="shared" ref="I30:I35" si="7">H30-G30</f>
        <v>14</v>
      </c>
      <c r="J30" s="52" t="s">
        <v>370</v>
      </c>
      <c r="K30" s="330">
        <v>44353</v>
      </c>
      <c r="L30" s="52">
        <v>44442</v>
      </c>
      <c r="M30" s="52"/>
      <c r="N30" s="50">
        <f t="shared" si="6"/>
        <v>2.9568106312292359</v>
      </c>
      <c r="O30" s="50"/>
      <c r="P30" s="50"/>
      <c r="Q30" s="182">
        <v>75650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75650</v>
      </c>
      <c r="AA30" s="275">
        <v>40650</v>
      </c>
      <c r="AB30" s="58"/>
      <c r="AC30" s="58"/>
      <c r="AD30" s="58"/>
      <c r="AE30" s="58"/>
      <c r="AF30" s="53"/>
      <c r="AG30" s="47"/>
      <c r="AH30" s="53">
        <f>SUM(R30:AG30)</f>
        <v>116300</v>
      </c>
      <c r="AI30" s="51"/>
      <c r="AJ30" s="218">
        <f t="shared" si="2"/>
        <v>40650</v>
      </c>
    </row>
    <row r="31" spans="1:36" s="36" customFormat="1" ht="15.75" x14ac:dyDescent="0.25">
      <c r="A31" s="60" t="s">
        <v>65</v>
      </c>
      <c r="B31" s="61" t="s">
        <v>531</v>
      </c>
      <c r="C31" s="52" t="s">
        <v>380</v>
      </c>
      <c r="D31" s="52" t="s">
        <v>575</v>
      </c>
      <c r="E31" s="61" t="s">
        <v>67</v>
      </c>
      <c r="F31" s="52" t="s">
        <v>46</v>
      </c>
      <c r="G31" s="329">
        <v>43929</v>
      </c>
      <c r="H31" s="329">
        <v>44004</v>
      </c>
      <c r="I31" s="333">
        <f t="shared" si="7"/>
        <v>75</v>
      </c>
      <c r="J31" s="52" t="s">
        <v>370</v>
      </c>
      <c r="K31" s="330">
        <v>44004</v>
      </c>
      <c r="L31" s="87">
        <v>44469</v>
      </c>
      <c r="M31" s="87"/>
      <c r="N31" s="50">
        <f t="shared" si="6"/>
        <v>15.448504983388705</v>
      </c>
      <c r="O31" s="50"/>
      <c r="P31" s="50"/>
      <c r="Q31" s="182">
        <f>2471535+10495</f>
        <v>2482030</v>
      </c>
      <c r="R31" s="115">
        <v>1788494</v>
      </c>
      <c r="S31" s="115">
        <v>93223</v>
      </c>
      <c r="T31" s="115">
        <v>-90886</v>
      </c>
      <c r="U31" s="115">
        <v>247214</v>
      </c>
      <c r="V31" s="115">
        <f>164452+38564</f>
        <v>203016</v>
      </c>
      <c r="W31" s="115">
        <v>0</v>
      </c>
      <c r="X31" s="115">
        <v>88152</v>
      </c>
      <c r="Y31" s="115">
        <f>20348+132469</f>
        <v>152817</v>
      </c>
      <c r="Z31" s="115">
        <v>0</v>
      </c>
      <c r="AA31" s="53"/>
      <c r="AB31" s="53"/>
      <c r="AC31" s="53"/>
      <c r="AD31" s="53"/>
      <c r="AE31" s="53"/>
      <c r="AF31" s="53"/>
      <c r="AG31" s="47"/>
      <c r="AH31" s="53">
        <f t="shared" ref="AH31:AH38" si="8">SUM(R31:AG31)</f>
        <v>2482030</v>
      </c>
      <c r="AI31" s="51"/>
      <c r="AJ31" s="218">
        <f t="shared" si="2"/>
        <v>0</v>
      </c>
    </row>
    <row r="32" spans="1:36" s="36" customFormat="1" ht="15.75" x14ac:dyDescent="0.25">
      <c r="A32" s="34" t="s">
        <v>383</v>
      </c>
      <c r="B32" s="35" t="s">
        <v>384</v>
      </c>
      <c r="C32" s="52" t="s">
        <v>380</v>
      </c>
      <c r="D32" s="52" t="s">
        <v>575</v>
      </c>
      <c r="E32" s="300" t="s">
        <v>89</v>
      </c>
      <c r="F32" s="52" t="s">
        <v>46</v>
      </c>
      <c r="G32" s="329">
        <v>44071</v>
      </c>
      <c r="H32" s="329">
        <v>44260</v>
      </c>
      <c r="I32" s="333">
        <f t="shared" si="7"/>
        <v>189</v>
      </c>
      <c r="J32" s="52" t="s">
        <v>370</v>
      </c>
      <c r="K32" s="329">
        <v>44290</v>
      </c>
      <c r="L32" s="87">
        <v>44484</v>
      </c>
      <c r="M32" s="87"/>
      <c r="N32" s="50">
        <f t="shared" si="6"/>
        <v>6.4451827242524926</v>
      </c>
      <c r="O32" s="50"/>
      <c r="P32" s="50"/>
      <c r="Q32" s="182">
        <v>683158</v>
      </c>
      <c r="R32" s="115">
        <v>65749</v>
      </c>
      <c r="S32" s="115">
        <v>0</v>
      </c>
      <c r="T32" s="115">
        <v>0</v>
      </c>
      <c r="U32" s="115">
        <v>72518</v>
      </c>
      <c r="V32" s="115">
        <v>31182</v>
      </c>
      <c r="W32" s="115">
        <v>36101</v>
      </c>
      <c r="X32" s="115">
        <v>79510</v>
      </c>
      <c r="Y32" s="115">
        <f>53107+111611</f>
        <v>164718</v>
      </c>
      <c r="Z32" s="115">
        <v>104045</v>
      </c>
      <c r="AA32" s="275">
        <v>90000</v>
      </c>
      <c r="AB32" s="275">
        <v>53380</v>
      </c>
      <c r="AC32" s="58"/>
      <c r="AD32" s="53"/>
      <c r="AE32" s="53"/>
      <c r="AF32" s="53"/>
      <c r="AG32" s="47"/>
      <c r="AH32" s="53">
        <f t="shared" si="8"/>
        <v>697203</v>
      </c>
      <c r="AI32" s="51"/>
      <c r="AJ32" s="218">
        <f t="shared" si="2"/>
        <v>14045</v>
      </c>
    </row>
    <row r="33" spans="1:37" s="36" customFormat="1" ht="15.75" x14ac:dyDescent="0.25">
      <c r="A33" s="34" t="s">
        <v>92</v>
      </c>
      <c r="B33" s="35" t="s">
        <v>543</v>
      </c>
      <c r="C33" s="52" t="s">
        <v>380</v>
      </c>
      <c r="D33" s="52" t="s">
        <v>575</v>
      </c>
      <c r="E33" s="35" t="s">
        <v>94</v>
      </c>
      <c r="F33" s="52" t="s">
        <v>46</v>
      </c>
      <c r="G33" s="330">
        <v>44120</v>
      </c>
      <c r="H33" s="330">
        <v>44246</v>
      </c>
      <c r="I33" s="333">
        <f t="shared" si="7"/>
        <v>126</v>
      </c>
      <c r="J33" s="52" t="s">
        <v>370</v>
      </c>
      <c r="K33" s="329">
        <v>44256</v>
      </c>
      <c r="L33" s="87">
        <v>44557</v>
      </c>
      <c r="M33" s="87"/>
      <c r="N33" s="50">
        <f t="shared" si="6"/>
        <v>10</v>
      </c>
      <c r="O33" s="50"/>
      <c r="P33" s="50"/>
      <c r="Q33" s="182">
        <v>1436404</v>
      </c>
      <c r="R33" s="115">
        <v>91138</v>
      </c>
      <c r="S33" s="115">
        <v>0</v>
      </c>
      <c r="T33" s="115">
        <v>0</v>
      </c>
      <c r="U33" s="115">
        <v>0</v>
      </c>
      <c r="V33" s="115">
        <v>55754</v>
      </c>
      <c r="W33" s="115">
        <f>82399+102660</f>
        <v>185059</v>
      </c>
      <c r="X33" s="115">
        <v>486176</v>
      </c>
      <c r="Y33" s="115">
        <v>117904</v>
      </c>
      <c r="Z33" s="115">
        <v>116211</v>
      </c>
      <c r="AA33" s="275">
        <v>125000</v>
      </c>
      <c r="AB33" s="275">
        <v>125000</v>
      </c>
      <c r="AC33" s="275">
        <v>100000</v>
      </c>
      <c r="AD33" s="275">
        <v>25373</v>
      </c>
      <c r="AE33" s="58"/>
      <c r="AF33" s="53"/>
      <c r="AG33" s="47"/>
      <c r="AH33" s="53">
        <f t="shared" si="8"/>
        <v>1427615</v>
      </c>
      <c r="AI33" s="51"/>
      <c r="AJ33" s="218">
        <f t="shared" si="2"/>
        <v>-8789</v>
      </c>
    </row>
    <row r="34" spans="1:37" s="36" customFormat="1" ht="15.75" x14ac:dyDescent="0.25">
      <c r="A34" s="34" t="s">
        <v>96</v>
      </c>
      <c r="B34" s="35" t="s">
        <v>97</v>
      </c>
      <c r="C34" s="52" t="s">
        <v>380</v>
      </c>
      <c r="D34" s="52" t="s">
        <v>575</v>
      </c>
      <c r="E34" s="35" t="s">
        <v>98</v>
      </c>
      <c r="F34" s="52" t="s">
        <v>46</v>
      </c>
      <c r="G34" s="330">
        <v>44168</v>
      </c>
      <c r="H34" s="330">
        <v>44280</v>
      </c>
      <c r="I34" s="333">
        <f t="shared" si="7"/>
        <v>112</v>
      </c>
      <c r="J34" s="52" t="s">
        <v>370</v>
      </c>
      <c r="K34" s="329">
        <v>44284</v>
      </c>
      <c r="L34" s="87">
        <v>44524.800000000003</v>
      </c>
      <c r="M34" s="87"/>
      <c r="N34" s="50">
        <f t="shared" si="6"/>
        <v>8.0000000000000977</v>
      </c>
      <c r="O34" s="50"/>
      <c r="P34" s="50"/>
      <c r="Q34" s="182">
        <v>648253</v>
      </c>
      <c r="R34" s="115">
        <v>124344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82390</v>
      </c>
      <c r="Y34" s="115">
        <v>0</v>
      </c>
      <c r="Z34" s="115">
        <v>125825</v>
      </c>
      <c r="AA34" s="275">
        <v>130000</v>
      </c>
      <c r="AB34" s="275">
        <v>100000</v>
      </c>
      <c r="AC34" s="275">
        <v>81519</v>
      </c>
      <c r="AD34" s="58"/>
      <c r="AE34" s="53"/>
      <c r="AF34" s="53"/>
      <c r="AG34" s="47"/>
      <c r="AH34" s="53">
        <f>SUM(R34:AG34)</f>
        <v>644078</v>
      </c>
      <c r="AI34" s="51"/>
      <c r="AJ34" s="218">
        <f t="shared" si="2"/>
        <v>-4175</v>
      </c>
    </row>
    <row r="35" spans="1:37" s="36" customFormat="1" ht="15.75" x14ac:dyDescent="0.25">
      <c r="A35" s="60" t="s">
        <v>99</v>
      </c>
      <c r="B35" s="61" t="s">
        <v>100</v>
      </c>
      <c r="C35" s="52" t="s">
        <v>380</v>
      </c>
      <c r="D35" s="52" t="s">
        <v>575</v>
      </c>
      <c r="E35" s="61" t="s">
        <v>101</v>
      </c>
      <c r="F35" s="52" t="s">
        <v>46</v>
      </c>
      <c r="G35" s="330">
        <v>44168</v>
      </c>
      <c r="H35" s="330">
        <v>44280</v>
      </c>
      <c r="I35" s="333">
        <f t="shared" si="7"/>
        <v>112</v>
      </c>
      <c r="J35" s="52" t="s">
        <v>370</v>
      </c>
      <c r="K35" s="329">
        <v>44284</v>
      </c>
      <c r="L35" s="87">
        <v>44524</v>
      </c>
      <c r="M35" s="87"/>
      <c r="N35" s="50">
        <f t="shared" si="6"/>
        <v>7.9734219269102988</v>
      </c>
      <c r="O35" s="50"/>
      <c r="P35" s="50"/>
      <c r="Q35" s="182">
        <v>400187</v>
      </c>
      <c r="R35" s="115">
        <v>14681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50940</v>
      </c>
      <c r="Y35" s="115">
        <v>0</v>
      </c>
      <c r="Z35" s="115">
        <v>231205</v>
      </c>
      <c r="AA35" s="275">
        <v>100000</v>
      </c>
      <c r="AB35" s="275">
        <v>100000</v>
      </c>
      <c r="AC35" s="275">
        <v>34566</v>
      </c>
      <c r="AD35" s="58"/>
      <c r="AE35" s="53"/>
      <c r="AF35" s="53"/>
      <c r="AG35" s="47"/>
      <c r="AH35" s="53">
        <f>SUM(R35:AG35)</f>
        <v>531392</v>
      </c>
      <c r="AI35" s="51"/>
      <c r="AJ35" s="218">
        <f t="shared" si="2"/>
        <v>131205</v>
      </c>
    </row>
    <row r="36" spans="1:37" s="36" customFormat="1" ht="15.75" x14ac:dyDescent="0.25">
      <c r="A36" s="113" t="s">
        <v>102</v>
      </c>
      <c r="B36" s="114" t="s">
        <v>385</v>
      </c>
      <c r="C36" s="52" t="s">
        <v>380</v>
      </c>
      <c r="D36" s="52" t="s">
        <v>575</v>
      </c>
      <c r="E36" s="114" t="s">
        <v>626</v>
      </c>
      <c r="F36" s="52" t="s">
        <v>46</v>
      </c>
      <c r="G36" s="330" t="s">
        <v>24</v>
      </c>
      <c r="H36" s="330" t="s">
        <v>24</v>
      </c>
      <c r="I36" s="333" t="s">
        <v>24</v>
      </c>
      <c r="J36" s="333" t="s">
        <v>24</v>
      </c>
      <c r="K36" s="333" t="s">
        <v>24</v>
      </c>
      <c r="L36" s="333" t="s">
        <v>24</v>
      </c>
      <c r="M36" s="333" t="s">
        <v>24</v>
      </c>
      <c r="N36" s="333" t="s">
        <v>24</v>
      </c>
      <c r="O36" s="333" t="s">
        <v>24</v>
      </c>
      <c r="P36" s="333" t="s">
        <v>24</v>
      </c>
      <c r="Q36" s="86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53"/>
      <c r="AB36" s="58"/>
      <c r="AC36" s="58"/>
      <c r="AD36" s="58"/>
      <c r="AE36" s="58"/>
      <c r="AF36" s="53"/>
      <c r="AG36" s="47"/>
      <c r="AH36" s="53">
        <f>SUM(R36:AG36)</f>
        <v>0</v>
      </c>
      <c r="AI36" s="51"/>
      <c r="AJ36" s="218">
        <f t="shared" si="2"/>
        <v>0</v>
      </c>
    </row>
    <row r="37" spans="1:37" s="36" customFormat="1" ht="15.75" x14ac:dyDescent="0.25">
      <c r="A37" s="113" t="s">
        <v>107</v>
      </c>
      <c r="B37" s="114" t="s">
        <v>108</v>
      </c>
      <c r="C37" s="52" t="s">
        <v>380</v>
      </c>
      <c r="D37" s="52" t="s">
        <v>575</v>
      </c>
      <c r="E37" s="114" t="s">
        <v>109</v>
      </c>
      <c r="F37" s="52" t="s">
        <v>46</v>
      </c>
      <c r="G37" s="330">
        <v>44419</v>
      </c>
      <c r="H37" s="330">
        <v>44420</v>
      </c>
      <c r="I37" s="333">
        <f>H37-G37</f>
        <v>1</v>
      </c>
      <c r="J37" s="52" t="s">
        <v>370</v>
      </c>
      <c r="K37" s="52">
        <v>44454</v>
      </c>
      <c r="L37" s="52">
        <v>44526.400000000001</v>
      </c>
      <c r="M37" s="52"/>
      <c r="N37" s="50">
        <f>((L37-K37)/7)/4.3</f>
        <v>2.4053156146179888</v>
      </c>
      <c r="O37" s="50"/>
      <c r="P37" s="50"/>
      <c r="Q37" s="86">
        <v>330000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275">
        <v>85000</v>
      </c>
      <c r="AB37" s="275">
        <v>85000</v>
      </c>
      <c r="AC37" s="275">
        <v>85000</v>
      </c>
      <c r="AD37" s="275">
        <v>75000</v>
      </c>
      <c r="AE37" s="58"/>
      <c r="AF37" s="53"/>
      <c r="AG37" s="47"/>
      <c r="AH37" s="53">
        <f>SUM(R37:AG37)</f>
        <v>330000</v>
      </c>
      <c r="AI37" s="51"/>
      <c r="AJ37" s="218">
        <f t="shared" si="2"/>
        <v>0</v>
      </c>
    </row>
    <row r="38" spans="1:37" s="36" customFormat="1" ht="15.75" x14ac:dyDescent="0.25">
      <c r="A38" s="93"/>
      <c r="B38" s="94"/>
      <c r="C38" s="91"/>
      <c r="D38" s="91"/>
      <c r="E38" s="94"/>
      <c r="F38" s="91"/>
      <c r="G38" s="91"/>
      <c r="H38" s="91"/>
      <c r="I38" s="92"/>
      <c r="J38" s="91"/>
      <c r="K38" s="91"/>
      <c r="L38" s="91"/>
      <c r="M38" s="91"/>
      <c r="N38" s="92"/>
      <c r="O38" s="92"/>
      <c r="P38" s="92"/>
      <c r="Q38" s="59">
        <f t="shared" ref="Q38:AF38" si="9">SUM(Q28:Q37)</f>
        <v>6191613</v>
      </c>
      <c r="R38" s="59">
        <f t="shared" si="9"/>
        <v>2084406</v>
      </c>
      <c r="S38" s="59">
        <f t="shared" si="9"/>
        <v>93223</v>
      </c>
      <c r="T38" s="59">
        <f t="shared" si="9"/>
        <v>-90886</v>
      </c>
      <c r="U38" s="59">
        <f t="shared" si="9"/>
        <v>319732</v>
      </c>
      <c r="V38" s="59">
        <f t="shared" si="9"/>
        <v>289952</v>
      </c>
      <c r="W38" s="59">
        <f t="shared" si="9"/>
        <v>221160</v>
      </c>
      <c r="X38" s="59">
        <f t="shared" si="9"/>
        <v>787168</v>
      </c>
      <c r="Y38" s="59">
        <f t="shared" si="9"/>
        <v>435439</v>
      </c>
      <c r="Z38" s="59">
        <f t="shared" si="9"/>
        <v>757842</v>
      </c>
      <c r="AA38" s="59">
        <f t="shared" si="9"/>
        <v>605650</v>
      </c>
      <c r="AB38" s="59">
        <f t="shared" si="9"/>
        <v>497505</v>
      </c>
      <c r="AC38" s="59">
        <f t="shared" si="9"/>
        <v>301085</v>
      </c>
      <c r="AD38" s="59">
        <f t="shared" si="9"/>
        <v>100373</v>
      </c>
      <c r="AE38" s="59">
        <f t="shared" si="9"/>
        <v>0</v>
      </c>
      <c r="AF38" s="59">
        <f t="shared" si="9"/>
        <v>0</v>
      </c>
      <c r="AG38" s="47"/>
      <c r="AH38" s="53">
        <f t="shared" si="8"/>
        <v>6402649</v>
      </c>
      <c r="AI38" s="51"/>
      <c r="AJ38" s="218">
        <f t="shared" si="2"/>
        <v>211036</v>
      </c>
    </row>
    <row r="39" spans="1:37" s="36" customFormat="1" ht="15.75" x14ac:dyDescent="0.25">
      <c r="A39" s="106" t="s">
        <v>536</v>
      </c>
      <c r="B39" s="107"/>
      <c r="C39" s="101" t="s">
        <v>567</v>
      </c>
      <c r="D39" s="102"/>
      <c r="E39" s="107"/>
      <c r="F39" s="102"/>
      <c r="G39" s="276"/>
      <c r="H39" s="276"/>
      <c r="I39" s="84"/>
      <c r="J39" s="102"/>
      <c r="K39" s="102"/>
      <c r="L39" s="102"/>
      <c r="M39" s="102"/>
      <c r="N39" s="84"/>
      <c r="O39" s="84"/>
      <c r="P39" s="84"/>
      <c r="Q39" s="193"/>
      <c r="R39" s="85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47"/>
      <c r="AH39" s="85"/>
      <c r="AI39" s="51"/>
      <c r="AJ39" s="218">
        <f t="shared" si="2"/>
        <v>0</v>
      </c>
    </row>
    <row r="40" spans="1:37" s="36" customFormat="1" ht="15.75" x14ac:dyDescent="0.25">
      <c r="A40" s="325" t="s">
        <v>434</v>
      </c>
      <c r="B40" s="326" t="s">
        <v>537</v>
      </c>
      <c r="C40" s="310" t="s">
        <v>567</v>
      </c>
      <c r="D40" s="310" t="s">
        <v>567</v>
      </c>
      <c r="E40" s="326"/>
      <c r="F40" s="310" t="s">
        <v>237</v>
      </c>
      <c r="G40" s="318" t="s">
        <v>24</v>
      </c>
      <c r="H40" s="318" t="s">
        <v>24</v>
      </c>
      <c r="I40" s="331" t="s">
        <v>24</v>
      </c>
      <c r="J40" s="331" t="s">
        <v>24</v>
      </c>
      <c r="K40" s="318" t="s">
        <v>24</v>
      </c>
      <c r="L40" s="318" t="s">
        <v>24</v>
      </c>
      <c r="M40" s="318" t="s">
        <v>24</v>
      </c>
      <c r="N40" s="318" t="s">
        <v>24</v>
      </c>
      <c r="O40" s="318" t="s">
        <v>24</v>
      </c>
      <c r="P40" s="310"/>
      <c r="Q40" s="327">
        <f>353138+108818</f>
        <v>461956</v>
      </c>
      <c r="R40" s="115">
        <v>0</v>
      </c>
      <c r="S40" s="115">
        <v>353138</v>
      </c>
      <c r="T40" s="115">
        <v>108818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58"/>
      <c r="AB40" s="58"/>
      <c r="AC40" s="58"/>
      <c r="AD40" s="58"/>
      <c r="AE40" s="58"/>
      <c r="AF40" s="53"/>
      <c r="AG40" s="47"/>
      <c r="AH40" s="53">
        <f>SUM(R40:AG40)</f>
        <v>461956</v>
      </c>
      <c r="AI40" s="51"/>
      <c r="AJ40" s="218">
        <f t="shared" si="2"/>
        <v>0</v>
      </c>
    </row>
    <row r="41" spans="1:37" s="36" customFormat="1" ht="15.75" x14ac:dyDescent="0.25">
      <c r="A41" s="179" t="s">
        <v>197</v>
      </c>
      <c r="B41" s="180" t="s">
        <v>198</v>
      </c>
      <c r="C41" s="52" t="s">
        <v>567</v>
      </c>
      <c r="D41" s="52" t="s">
        <v>567</v>
      </c>
      <c r="E41" s="180" t="s">
        <v>683</v>
      </c>
      <c r="F41" s="52" t="s">
        <v>46</v>
      </c>
      <c r="G41" s="330" t="s">
        <v>24</v>
      </c>
      <c r="H41" s="330" t="s">
        <v>24</v>
      </c>
      <c r="I41" s="333" t="s">
        <v>24</v>
      </c>
      <c r="J41" s="52" t="s">
        <v>370</v>
      </c>
      <c r="K41" s="330">
        <v>44195</v>
      </c>
      <c r="L41" s="52">
        <v>44469</v>
      </c>
      <c r="M41" s="52"/>
      <c r="N41" s="50">
        <f>((L41-K41)/7)/4.3</f>
        <v>9.1029900332225928</v>
      </c>
      <c r="O41" s="50"/>
      <c r="P41" s="50"/>
      <c r="Q41" s="247">
        <v>500577</v>
      </c>
      <c r="R41" s="115">
        <v>0</v>
      </c>
      <c r="S41" s="115">
        <v>0</v>
      </c>
      <c r="T41" s="115">
        <v>17615</v>
      </c>
      <c r="U41" s="115">
        <v>71648</v>
      </c>
      <c r="V41" s="115">
        <v>0</v>
      </c>
      <c r="W41" s="115">
        <v>97695</v>
      </c>
      <c r="X41" s="115">
        <v>103125</v>
      </c>
      <c r="Y41" s="115">
        <v>92500</v>
      </c>
      <c r="Z41" s="115">
        <v>117993</v>
      </c>
      <c r="AA41" s="275">
        <v>17994</v>
      </c>
      <c r="AB41" s="58"/>
      <c r="AC41" s="58"/>
      <c r="AD41" s="58"/>
      <c r="AE41" s="58"/>
      <c r="AF41" s="53"/>
      <c r="AG41" s="47"/>
      <c r="AH41" s="53">
        <f>SUM(R41:AG41)</f>
        <v>518570</v>
      </c>
      <c r="AI41" s="51"/>
      <c r="AJ41" s="218">
        <f t="shared" si="2"/>
        <v>17993</v>
      </c>
    </row>
    <row r="42" spans="1:37" s="36" customFormat="1" ht="15.75" x14ac:dyDescent="0.25">
      <c r="A42" s="93"/>
      <c r="B42" s="94"/>
      <c r="C42" s="91"/>
      <c r="D42" s="91"/>
      <c r="E42" s="94"/>
      <c r="F42" s="91"/>
      <c r="G42" s="91"/>
      <c r="H42" s="91"/>
      <c r="I42" s="92"/>
      <c r="J42" s="91"/>
      <c r="K42" s="91"/>
      <c r="L42" s="91"/>
      <c r="M42" s="91"/>
      <c r="N42" s="92"/>
      <c r="O42" s="92"/>
      <c r="P42" s="92"/>
      <c r="Q42" s="243">
        <f>SUM(Q40:Q41)</f>
        <v>962533</v>
      </c>
      <c r="R42" s="59">
        <f>SUM(R40:R41)</f>
        <v>0</v>
      </c>
      <c r="S42" s="59">
        <f>SUM(S40:S41)</f>
        <v>353138</v>
      </c>
      <c r="T42" s="59">
        <f t="shared" ref="T42:AD42" si="10">SUM(T40:T41)</f>
        <v>126433</v>
      </c>
      <c r="U42" s="59">
        <f t="shared" si="10"/>
        <v>71648</v>
      </c>
      <c r="V42" s="59">
        <f t="shared" si="10"/>
        <v>0</v>
      </c>
      <c r="W42" s="59">
        <f t="shared" si="10"/>
        <v>97695</v>
      </c>
      <c r="X42" s="59">
        <f t="shared" si="10"/>
        <v>103125</v>
      </c>
      <c r="Y42" s="59">
        <f t="shared" si="10"/>
        <v>92500</v>
      </c>
      <c r="Z42" s="59">
        <f t="shared" si="10"/>
        <v>117993</v>
      </c>
      <c r="AA42" s="59">
        <f t="shared" si="10"/>
        <v>17994</v>
      </c>
      <c r="AB42" s="59">
        <f t="shared" si="10"/>
        <v>0</v>
      </c>
      <c r="AC42" s="59">
        <f t="shared" si="10"/>
        <v>0</v>
      </c>
      <c r="AD42" s="59">
        <f t="shared" si="10"/>
        <v>0</v>
      </c>
      <c r="AE42" s="59">
        <f>SUM(AE40:AE41)</f>
        <v>0</v>
      </c>
      <c r="AF42" s="59">
        <f>SUM(AF40:AF41)</f>
        <v>0</v>
      </c>
      <c r="AG42" s="47"/>
      <c r="AH42" s="53">
        <f>SUM(R42:AG42)</f>
        <v>980526</v>
      </c>
      <c r="AI42" s="51"/>
      <c r="AJ42" s="218">
        <f t="shared" si="2"/>
        <v>17993</v>
      </c>
    </row>
    <row r="43" spans="1:37" s="36" customFormat="1" ht="15.75" x14ac:dyDescent="0.25">
      <c r="A43" s="106" t="s">
        <v>569</v>
      </c>
      <c r="B43" s="107"/>
      <c r="C43" s="101" t="s">
        <v>562</v>
      </c>
      <c r="D43" s="102"/>
      <c r="E43" s="107"/>
      <c r="F43" s="102"/>
      <c r="G43" s="276"/>
      <c r="H43" s="276"/>
      <c r="I43" s="84"/>
      <c r="J43" s="102"/>
      <c r="K43" s="102"/>
      <c r="L43" s="102"/>
      <c r="M43" s="102"/>
      <c r="N43" s="84"/>
      <c r="O43" s="84"/>
      <c r="P43" s="84"/>
      <c r="Q43" s="193"/>
      <c r="R43" s="85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47"/>
      <c r="AH43" s="85"/>
      <c r="AI43" s="51"/>
      <c r="AJ43" s="218">
        <f t="shared" si="2"/>
        <v>0</v>
      </c>
    </row>
    <row r="44" spans="1:37" s="36" customFormat="1" ht="15.75" x14ac:dyDescent="0.25">
      <c r="A44" s="334" t="s">
        <v>127</v>
      </c>
      <c r="B44" s="335" t="s">
        <v>396</v>
      </c>
      <c r="C44" s="321" t="s">
        <v>562</v>
      </c>
      <c r="D44" s="321" t="s">
        <v>402</v>
      </c>
      <c r="E44" s="335" t="s">
        <v>447</v>
      </c>
      <c r="F44" s="321" t="s">
        <v>46</v>
      </c>
      <c r="G44" s="332">
        <v>44253</v>
      </c>
      <c r="H44" s="332">
        <v>44272</v>
      </c>
      <c r="I44" s="343">
        <f>H44-G44</f>
        <v>19</v>
      </c>
      <c r="J44" s="321" t="s">
        <v>370</v>
      </c>
      <c r="K44" s="332">
        <v>44272</v>
      </c>
      <c r="L44" s="332">
        <v>44435</v>
      </c>
      <c r="M44" s="332"/>
      <c r="N44" s="322">
        <f>((L44-K44)/7)/4.3</f>
        <v>5.4152823920265778</v>
      </c>
      <c r="O44" s="322"/>
      <c r="P44" s="322"/>
      <c r="Q44" s="323">
        <v>383545</v>
      </c>
      <c r="R44" s="115">
        <v>0</v>
      </c>
      <c r="S44" s="115">
        <v>0</v>
      </c>
      <c r="T44" s="115">
        <v>0</v>
      </c>
      <c r="U44" s="115">
        <v>0</v>
      </c>
      <c r="V44" s="115">
        <f>84179+34753</f>
        <v>118932</v>
      </c>
      <c r="W44" s="115">
        <f>93305+17005</f>
        <v>110310</v>
      </c>
      <c r="X44" s="115">
        <v>66219</v>
      </c>
      <c r="Y44" s="115">
        <v>58693</v>
      </c>
      <c r="Z44" s="115">
        <v>29391</v>
      </c>
      <c r="AA44" s="53"/>
      <c r="AB44" s="53"/>
      <c r="AC44" s="53"/>
      <c r="AD44" s="53"/>
      <c r="AE44" s="53"/>
      <c r="AF44" s="53"/>
      <c r="AG44" s="47"/>
      <c r="AH44" s="53">
        <f>SUM(R44:AG44)</f>
        <v>383545</v>
      </c>
      <c r="AI44" s="51"/>
      <c r="AJ44" s="218">
        <f t="shared" si="2"/>
        <v>0</v>
      </c>
    </row>
    <row r="45" spans="1:37" s="36" customFormat="1" ht="15.75" x14ac:dyDescent="0.25">
      <c r="A45" s="104" t="s">
        <v>134</v>
      </c>
      <c r="B45" s="65" t="s">
        <v>135</v>
      </c>
      <c r="C45" s="52" t="s">
        <v>562</v>
      </c>
      <c r="D45" s="52" t="s">
        <v>566</v>
      </c>
      <c r="E45" s="65" t="s">
        <v>136</v>
      </c>
      <c r="F45" s="52" t="s">
        <v>46</v>
      </c>
      <c r="G45" s="330">
        <v>44174</v>
      </c>
      <c r="H45" s="330">
        <v>44223</v>
      </c>
      <c r="I45" s="333">
        <f>H45-G45</f>
        <v>49</v>
      </c>
      <c r="J45" s="52" t="s">
        <v>370</v>
      </c>
      <c r="K45" s="330">
        <v>44382</v>
      </c>
      <c r="L45" s="52">
        <v>44518</v>
      </c>
      <c r="M45" s="52"/>
      <c r="N45" s="50">
        <f>((L45-K45)/7)/4.3</f>
        <v>4.5182724252491688</v>
      </c>
      <c r="O45" s="50"/>
      <c r="P45" s="50"/>
      <c r="Q45" s="245">
        <v>1006579</v>
      </c>
      <c r="R45" s="115">
        <v>131243</v>
      </c>
      <c r="S45" s="115">
        <v>0</v>
      </c>
      <c r="T45" s="115">
        <v>0</v>
      </c>
      <c r="U45" s="115">
        <v>0</v>
      </c>
      <c r="V45" s="115"/>
      <c r="W45" s="115">
        <f>36571+46439</f>
        <v>83010</v>
      </c>
      <c r="X45" s="115">
        <v>67371</v>
      </c>
      <c r="Y45" s="115">
        <v>0</v>
      </c>
      <c r="Z45" s="115">
        <v>103268</v>
      </c>
      <c r="AA45" s="275">
        <v>150000</v>
      </c>
      <c r="AB45" s="275">
        <v>150000</v>
      </c>
      <c r="AC45" s="275">
        <v>149619</v>
      </c>
      <c r="AD45" s="58"/>
      <c r="AE45" s="53"/>
      <c r="AF45" s="53"/>
      <c r="AG45" s="47"/>
      <c r="AH45" s="53">
        <f>SUM(R45:AG45)</f>
        <v>834511</v>
      </c>
      <c r="AI45" s="51"/>
      <c r="AJ45" s="218">
        <f t="shared" si="2"/>
        <v>-172068</v>
      </c>
      <c r="AK45" s="36" t="s">
        <v>574</v>
      </c>
    </row>
    <row r="46" spans="1:37" s="36" customFormat="1" ht="15.75" x14ac:dyDescent="0.25">
      <c r="A46" s="34" t="s">
        <v>226</v>
      </c>
      <c r="B46" s="35" t="s">
        <v>442</v>
      </c>
      <c r="C46" s="52" t="s">
        <v>562</v>
      </c>
      <c r="D46" s="52" t="s">
        <v>565</v>
      </c>
      <c r="E46" s="35" t="s">
        <v>656</v>
      </c>
      <c r="F46" s="52" t="s">
        <v>46</v>
      </c>
      <c r="G46" s="330">
        <v>44295</v>
      </c>
      <c r="H46" s="330">
        <v>44357</v>
      </c>
      <c r="I46" s="333">
        <f>H46-G46</f>
        <v>62</v>
      </c>
      <c r="J46" s="52" t="s">
        <v>370</v>
      </c>
      <c r="K46" s="330">
        <v>44387</v>
      </c>
      <c r="L46" s="52">
        <v>44508</v>
      </c>
      <c r="M46" s="52"/>
      <c r="N46" s="50">
        <f>((L46-K46)/7)/4.3</f>
        <v>4.0199335548172757</v>
      </c>
      <c r="O46" s="50"/>
      <c r="P46" s="50"/>
      <c r="Q46" s="182">
        <v>2259828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105517</v>
      </c>
      <c r="X46" s="115">
        <v>201248</v>
      </c>
      <c r="Y46" s="115">
        <v>0</v>
      </c>
      <c r="Z46" s="115">
        <v>748228</v>
      </c>
      <c r="AA46" s="275">
        <v>500000</v>
      </c>
      <c r="AB46" s="275">
        <v>500000</v>
      </c>
      <c r="AC46" s="275">
        <v>400000</v>
      </c>
      <c r="AD46" s="275">
        <v>303063</v>
      </c>
      <c r="AE46" s="58"/>
      <c r="AF46" s="53"/>
      <c r="AG46" s="47"/>
      <c r="AH46" s="53">
        <f>SUM(R46:AG46)</f>
        <v>2758056</v>
      </c>
      <c r="AI46" s="51"/>
      <c r="AJ46" s="218">
        <f t="shared" si="2"/>
        <v>498228</v>
      </c>
    </row>
    <row r="47" spans="1:37" s="36" customFormat="1" ht="15.75" x14ac:dyDescent="0.25">
      <c r="A47" s="93"/>
      <c r="B47" s="94"/>
      <c r="C47" s="91"/>
      <c r="D47" s="91"/>
      <c r="E47" s="94"/>
      <c r="F47" s="91"/>
      <c r="G47" s="91"/>
      <c r="H47" s="91"/>
      <c r="I47" s="92"/>
      <c r="J47" s="91"/>
      <c r="K47" s="91"/>
      <c r="L47" s="91"/>
      <c r="M47" s="91"/>
      <c r="N47" s="92"/>
      <c r="O47" s="92"/>
      <c r="P47" s="92"/>
      <c r="Q47" s="59">
        <f>SUM(Q44:Q46)</f>
        <v>3649952</v>
      </c>
      <c r="R47" s="59">
        <f>SUM(R44:R46)</f>
        <v>131243</v>
      </c>
      <c r="S47" s="59">
        <f>SUM(S44:S46)</f>
        <v>0</v>
      </c>
      <c r="T47" s="59">
        <f t="shared" ref="T47:AD47" si="11">SUM(T44:T46)</f>
        <v>0</v>
      </c>
      <c r="U47" s="59">
        <f t="shared" si="11"/>
        <v>0</v>
      </c>
      <c r="V47" s="59">
        <f t="shared" si="11"/>
        <v>118932</v>
      </c>
      <c r="W47" s="59">
        <f t="shared" si="11"/>
        <v>298837</v>
      </c>
      <c r="X47" s="59">
        <f t="shared" si="11"/>
        <v>334838</v>
      </c>
      <c r="Y47" s="59">
        <f t="shared" si="11"/>
        <v>58693</v>
      </c>
      <c r="Z47" s="59">
        <f t="shared" si="11"/>
        <v>880887</v>
      </c>
      <c r="AA47" s="59">
        <f t="shared" si="11"/>
        <v>650000</v>
      </c>
      <c r="AB47" s="59">
        <f t="shared" si="11"/>
        <v>650000</v>
      </c>
      <c r="AC47" s="59">
        <f t="shared" si="11"/>
        <v>549619</v>
      </c>
      <c r="AD47" s="59">
        <f t="shared" si="11"/>
        <v>303063</v>
      </c>
      <c r="AE47" s="59">
        <f>SUM(AE44:AE46)</f>
        <v>0</v>
      </c>
      <c r="AF47" s="59">
        <f>SUM(AF44:AF46)</f>
        <v>0</v>
      </c>
      <c r="AG47" s="47"/>
      <c r="AH47" s="53">
        <f>SUM(R47:AG47)</f>
        <v>3976112</v>
      </c>
      <c r="AI47" s="51"/>
      <c r="AJ47" s="218">
        <f t="shared" si="2"/>
        <v>326160</v>
      </c>
    </row>
    <row r="48" spans="1:37" s="36" customFormat="1" ht="15.75" x14ac:dyDescent="0.25">
      <c r="A48" s="106" t="s">
        <v>514</v>
      </c>
      <c r="B48" s="107"/>
      <c r="C48" s="101" t="s">
        <v>568</v>
      </c>
      <c r="D48" s="102"/>
      <c r="E48" s="107"/>
      <c r="F48" s="102"/>
      <c r="G48" s="276"/>
      <c r="H48" s="276"/>
      <c r="I48" s="84"/>
      <c r="J48" s="102"/>
      <c r="K48" s="102"/>
      <c r="L48" s="102"/>
      <c r="M48" s="102"/>
      <c r="N48" s="84"/>
      <c r="O48" s="84"/>
      <c r="P48" s="84"/>
      <c r="Q48" s="193"/>
      <c r="R48" s="85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47"/>
      <c r="AH48" s="85"/>
      <c r="AI48" s="51"/>
      <c r="AJ48" s="218">
        <f t="shared" si="2"/>
        <v>0</v>
      </c>
    </row>
    <row r="49" spans="1:37" s="36" customFormat="1" ht="15.75" x14ac:dyDescent="0.25">
      <c r="A49" s="113" t="s">
        <v>180</v>
      </c>
      <c r="B49" s="113" t="s">
        <v>182</v>
      </c>
      <c r="C49" s="52" t="s">
        <v>568</v>
      </c>
      <c r="D49" s="87" t="s">
        <v>401</v>
      </c>
      <c r="E49" s="113" t="s">
        <v>697</v>
      </c>
      <c r="F49" s="52" t="s">
        <v>46</v>
      </c>
      <c r="G49" s="330">
        <v>44307</v>
      </c>
      <c r="H49" s="330">
        <v>44417</v>
      </c>
      <c r="I49" s="333">
        <f>H49-G49</f>
        <v>110</v>
      </c>
      <c r="J49" s="52" t="s">
        <v>370</v>
      </c>
      <c r="K49" s="299">
        <v>44371</v>
      </c>
      <c r="L49" s="52">
        <v>44431</v>
      </c>
      <c r="M49" s="52"/>
      <c r="N49" s="50">
        <f>((L49-K49)/7)/4.3</f>
        <v>1.9933554817275747</v>
      </c>
      <c r="O49" s="50"/>
      <c r="P49" s="50"/>
      <c r="Q49" s="53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53"/>
      <c r="AB49" s="53"/>
      <c r="AC49" s="53"/>
      <c r="AD49" s="53"/>
      <c r="AE49" s="53"/>
      <c r="AF49" s="53"/>
      <c r="AG49" s="47"/>
      <c r="AH49" s="53">
        <f>SUM(R49:AG49)</f>
        <v>0</v>
      </c>
      <c r="AI49" s="51"/>
      <c r="AJ49" s="218">
        <f t="shared" si="2"/>
        <v>0</v>
      </c>
    </row>
    <row r="50" spans="1:37" s="36" customFormat="1" ht="15.75" x14ac:dyDescent="0.25">
      <c r="A50" s="34" t="s">
        <v>185</v>
      </c>
      <c r="B50" s="35" t="s">
        <v>622</v>
      </c>
      <c r="C50" s="52" t="s">
        <v>568</v>
      </c>
      <c r="D50" s="87" t="s">
        <v>401</v>
      </c>
      <c r="E50" s="113" t="s">
        <v>696</v>
      </c>
      <c r="F50" s="52" t="s">
        <v>46</v>
      </c>
      <c r="G50" s="330">
        <v>44328</v>
      </c>
      <c r="H50" s="330">
        <v>44418</v>
      </c>
      <c r="I50" s="333">
        <f>H50-G50</f>
        <v>90</v>
      </c>
      <c r="J50" s="52" t="s">
        <v>370</v>
      </c>
      <c r="K50" s="330">
        <v>44372</v>
      </c>
      <c r="L50" s="52">
        <v>44673</v>
      </c>
      <c r="M50" s="52"/>
      <c r="N50" s="50">
        <f>((L50-K50)/7)/4.3</f>
        <v>10</v>
      </c>
      <c r="O50" s="50"/>
      <c r="P50" s="50"/>
      <c r="Q50" s="182">
        <v>1961016</v>
      </c>
      <c r="R50" s="115">
        <v>0</v>
      </c>
      <c r="S50" s="115">
        <v>0</v>
      </c>
      <c r="T50" s="115"/>
      <c r="U50" s="115"/>
      <c r="V50" s="115">
        <f>233134</f>
        <v>233134</v>
      </c>
      <c r="W50" s="115">
        <v>0</v>
      </c>
      <c r="X50" s="115">
        <v>0</v>
      </c>
      <c r="Y50" s="115">
        <v>72994</v>
      </c>
      <c r="Z50" s="115">
        <v>144486</v>
      </c>
      <c r="AA50" s="275">
        <v>175000</v>
      </c>
      <c r="AB50" s="275">
        <v>190000</v>
      </c>
      <c r="AC50" s="275">
        <v>165000</v>
      </c>
      <c r="AD50" s="275">
        <v>175000</v>
      </c>
      <c r="AE50" s="275">
        <v>899888</v>
      </c>
      <c r="AF50" s="53"/>
      <c r="AG50" s="47"/>
      <c r="AH50" s="53">
        <f>SUM(R50:AG50)</f>
        <v>2055502</v>
      </c>
      <c r="AI50" s="51"/>
      <c r="AJ50" s="218">
        <f t="shared" si="2"/>
        <v>94486</v>
      </c>
    </row>
    <row r="51" spans="1:37" s="36" customFormat="1" ht="15.75" x14ac:dyDescent="0.25">
      <c r="A51" s="113" t="s">
        <v>203</v>
      </c>
      <c r="B51" s="35" t="s">
        <v>204</v>
      </c>
      <c r="C51" s="52" t="s">
        <v>568</v>
      </c>
      <c r="D51" s="52" t="s">
        <v>630</v>
      </c>
      <c r="E51" s="35" t="s">
        <v>684</v>
      </c>
      <c r="F51" s="52" t="s">
        <v>46</v>
      </c>
      <c r="G51" s="330">
        <v>44369</v>
      </c>
      <c r="H51" s="347">
        <v>44439</v>
      </c>
      <c r="I51" s="50">
        <f>H51-G51</f>
        <v>70</v>
      </c>
      <c r="J51" s="52" t="s">
        <v>320</v>
      </c>
      <c r="K51" s="329">
        <v>44399</v>
      </c>
      <c r="L51" s="52">
        <v>44803</v>
      </c>
      <c r="M51" s="52"/>
      <c r="N51" s="50">
        <f>((L51-K51)/7)/4.3</f>
        <v>13.421926910299003</v>
      </c>
      <c r="O51" s="50"/>
      <c r="P51" s="50"/>
      <c r="Q51" s="53">
        <v>10000000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941343</v>
      </c>
      <c r="AA51" s="275">
        <v>1372000</v>
      </c>
      <c r="AB51" s="275">
        <v>522000</v>
      </c>
      <c r="AC51" s="275">
        <v>522000</v>
      </c>
      <c r="AD51" s="275">
        <v>772000</v>
      </c>
      <c r="AE51" s="275">
        <v>6062000</v>
      </c>
      <c r="AF51" s="53"/>
      <c r="AG51" s="47"/>
      <c r="AH51" s="53">
        <f>SUM(R51:AG51)</f>
        <v>10191343</v>
      </c>
      <c r="AI51" s="51"/>
      <c r="AJ51" s="218">
        <f t="shared" si="2"/>
        <v>191343</v>
      </c>
    </row>
    <row r="52" spans="1:37" s="36" customFormat="1" ht="15.75" x14ac:dyDescent="0.25">
      <c r="A52" s="93"/>
      <c r="B52" s="94"/>
      <c r="C52" s="91"/>
      <c r="D52" s="91"/>
      <c r="E52" s="94"/>
      <c r="F52" s="91"/>
      <c r="G52" s="91"/>
      <c r="H52" s="91"/>
      <c r="I52" s="92"/>
      <c r="J52" s="91"/>
      <c r="K52" s="91"/>
      <c r="L52" s="91"/>
      <c r="M52" s="91"/>
      <c r="N52" s="92"/>
      <c r="O52" s="92"/>
      <c r="P52" s="92"/>
      <c r="Q52" s="59">
        <f>SUM(Q49:Q51)</f>
        <v>11961016</v>
      </c>
      <c r="R52" s="59">
        <f t="shared" ref="R52:AF52" si="12">SUM(R49:R51)</f>
        <v>0</v>
      </c>
      <c r="S52" s="59">
        <f t="shared" si="12"/>
        <v>0</v>
      </c>
      <c r="T52" s="59">
        <f t="shared" si="12"/>
        <v>0</v>
      </c>
      <c r="U52" s="59">
        <f t="shared" si="12"/>
        <v>0</v>
      </c>
      <c r="V52" s="59">
        <f t="shared" si="12"/>
        <v>233134</v>
      </c>
      <c r="W52" s="59">
        <f t="shared" si="12"/>
        <v>0</v>
      </c>
      <c r="X52" s="59">
        <f t="shared" si="12"/>
        <v>0</v>
      </c>
      <c r="Y52" s="59">
        <f t="shared" si="12"/>
        <v>72994</v>
      </c>
      <c r="Z52" s="59">
        <f t="shared" si="12"/>
        <v>1085829</v>
      </c>
      <c r="AA52" s="59">
        <f t="shared" si="12"/>
        <v>1547000</v>
      </c>
      <c r="AB52" s="59">
        <f t="shared" si="12"/>
        <v>712000</v>
      </c>
      <c r="AC52" s="59">
        <f t="shared" si="12"/>
        <v>687000</v>
      </c>
      <c r="AD52" s="59">
        <f t="shared" si="12"/>
        <v>947000</v>
      </c>
      <c r="AE52" s="59">
        <f t="shared" si="12"/>
        <v>6961888</v>
      </c>
      <c r="AF52" s="59">
        <f t="shared" si="12"/>
        <v>0</v>
      </c>
      <c r="AG52" s="47"/>
      <c r="AH52" s="53">
        <f>SUM(R52:AG52)</f>
        <v>12246845</v>
      </c>
      <c r="AI52" s="51"/>
      <c r="AJ52" s="218">
        <f t="shared" si="2"/>
        <v>285829</v>
      </c>
    </row>
    <row r="53" spans="1:37" s="36" customFormat="1" ht="15.75" x14ac:dyDescent="0.25">
      <c r="A53" s="106" t="s">
        <v>234</v>
      </c>
      <c r="B53" s="107"/>
      <c r="C53" s="101" t="s">
        <v>570</v>
      </c>
      <c r="D53" s="102"/>
      <c r="E53" s="107"/>
      <c r="F53" s="102"/>
      <c r="G53" s="276"/>
      <c r="H53" s="276"/>
      <c r="I53" s="84"/>
      <c r="J53" s="102"/>
      <c r="K53" s="102"/>
      <c r="L53" s="102"/>
      <c r="M53" s="102"/>
      <c r="N53" s="84"/>
      <c r="O53" s="84"/>
      <c r="P53" s="84"/>
      <c r="Q53" s="193"/>
      <c r="R53" s="85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47"/>
      <c r="AH53" s="85"/>
      <c r="AI53" s="51"/>
      <c r="AJ53" s="218">
        <f t="shared" si="2"/>
        <v>0</v>
      </c>
    </row>
    <row r="54" spans="1:37" s="36" customFormat="1" ht="15.75" x14ac:dyDescent="0.25">
      <c r="A54" s="319" t="s">
        <v>238</v>
      </c>
      <c r="B54" s="320" t="s">
        <v>239</v>
      </c>
      <c r="C54" s="321" t="s">
        <v>570</v>
      </c>
      <c r="D54" s="321"/>
      <c r="E54" s="320" t="s">
        <v>632</v>
      </c>
      <c r="F54" s="321" t="s">
        <v>237</v>
      </c>
      <c r="G54" s="321"/>
      <c r="H54" s="321"/>
      <c r="I54" s="322">
        <f>H54-G54</f>
        <v>0</v>
      </c>
      <c r="J54" s="321" t="s">
        <v>370</v>
      </c>
      <c r="K54" s="332">
        <v>43836</v>
      </c>
      <c r="L54" s="332">
        <v>44090</v>
      </c>
      <c r="M54" s="332"/>
      <c r="N54" s="322">
        <f>((L54-K54)/7)/4.3</f>
        <v>8.4385382059800662</v>
      </c>
      <c r="O54" s="322" t="s">
        <v>237</v>
      </c>
      <c r="P54" s="322"/>
      <c r="Q54" s="323">
        <f>1219262-1559</f>
        <v>1217703</v>
      </c>
      <c r="R54" s="115">
        <v>1206322</v>
      </c>
      <c r="S54" s="115">
        <v>11381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58"/>
      <c r="AB54" s="58"/>
      <c r="AC54" s="58"/>
      <c r="AD54" s="58"/>
      <c r="AE54" s="58"/>
      <c r="AF54" s="53"/>
      <c r="AG54" s="47"/>
      <c r="AH54" s="53">
        <f>SUM(R54:AG54)</f>
        <v>1217703</v>
      </c>
      <c r="AI54" s="51"/>
      <c r="AJ54" s="218">
        <f t="shared" si="2"/>
        <v>0</v>
      </c>
    </row>
    <row r="55" spans="1:37" s="36" customFormat="1" ht="15.75" x14ac:dyDescent="0.25">
      <c r="A55" s="319" t="s">
        <v>273</v>
      </c>
      <c r="B55" s="320" t="s">
        <v>274</v>
      </c>
      <c r="C55" s="321" t="s">
        <v>570</v>
      </c>
      <c r="D55" s="321"/>
      <c r="E55" s="320" t="s">
        <v>275</v>
      </c>
      <c r="F55" s="321" t="s">
        <v>237</v>
      </c>
      <c r="G55" s="321"/>
      <c r="H55" s="321"/>
      <c r="I55" s="322">
        <f>H55-G55</f>
        <v>0</v>
      </c>
      <c r="J55" s="321" t="s">
        <v>370</v>
      </c>
      <c r="K55" s="332">
        <v>43889</v>
      </c>
      <c r="L55" s="332">
        <v>44187</v>
      </c>
      <c r="M55" s="332"/>
      <c r="N55" s="322">
        <f>((L55-K55)/7)/4.3</f>
        <v>9.9003322259136208</v>
      </c>
      <c r="O55" s="322" t="s">
        <v>237</v>
      </c>
      <c r="P55" s="322"/>
      <c r="Q55" s="323">
        <f>577676+1200</f>
        <v>578876</v>
      </c>
      <c r="R55" s="115">
        <v>568341</v>
      </c>
      <c r="S55" s="115">
        <v>2335</v>
      </c>
      <c r="T55" s="115">
        <v>0</v>
      </c>
      <c r="U55" s="115">
        <v>0</v>
      </c>
      <c r="V55" s="115">
        <v>0</v>
      </c>
      <c r="W55" s="115">
        <v>8200</v>
      </c>
      <c r="X55" s="115">
        <v>0</v>
      </c>
      <c r="Y55" s="115">
        <v>0</v>
      </c>
      <c r="Z55" s="115">
        <v>0</v>
      </c>
      <c r="AA55" s="58"/>
      <c r="AB55" s="53"/>
      <c r="AC55" s="53"/>
      <c r="AD55" s="53"/>
      <c r="AE55" s="58"/>
      <c r="AF55" s="58"/>
      <c r="AG55" s="47"/>
      <c r="AH55" s="53">
        <f>SUM(R55:AG55)</f>
        <v>578876</v>
      </c>
      <c r="AI55" s="51"/>
      <c r="AJ55" s="218">
        <f t="shared" si="2"/>
        <v>0</v>
      </c>
    </row>
    <row r="56" spans="1:37" s="36" customFormat="1" ht="15.75" x14ac:dyDescent="0.25">
      <c r="A56" s="93"/>
      <c r="B56" s="94"/>
      <c r="C56" s="91"/>
      <c r="D56" s="91"/>
      <c r="E56" s="94"/>
      <c r="F56" s="91"/>
      <c r="G56" s="91"/>
      <c r="H56" s="91"/>
      <c r="I56" s="92"/>
      <c r="J56" s="91"/>
      <c r="K56" s="91"/>
      <c r="L56" s="91"/>
      <c r="M56" s="91"/>
      <c r="N56" s="92"/>
      <c r="O56" s="92"/>
      <c r="P56" s="92"/>
      <c r="Q56" s="59">
        <f t="shared" ref="Q56:AF56" si="13">SUM(Q54:Q55)</f>
        <v>1796579</v>
      </c>
      <c r="R56" s="59">
        <f t="shared" si="13"/>
        <v>1774663</v>
      </c>
      <c r="S56" s="59">
        <f t="shared" si="13"/>
        <v>13716</v>
      </c>
      <c r="T56" s="59">
        <f t="shared" si="13"/>
        <v>0</v>
      </c>
      <c r="U56" s="59">
        <f t="shared" si="13"/>
        <v>0</v>
      </c>
      <c r="V56" s="59">
        <f t="shared" si="13"/>
        <v>0</v>
      </c>
      <c r="W56" s="59">
        <f t="shared" si="13"/>
        <v>8200</v>
      </c>
      <c r="X56" s="59">
        <f t="shared" si="13"/>
        <v>0</v>
      </c>
      <c r="Y56" s="59">
        <f t="shared" si="13"/>
        <v>0</v>
      </c>
      <c r="Z56" s="59">
        <f t="shared" si="13"/>
        <v>0</v>
      </c>
      <c r="AA56" s="59">
        <f t="shared" si="13"/>
        <v>0</v>
      </c>
      <c r="AB56" s="59">
        <f t="shared" si="13"/>
        <v>0</v>
      </c>
      <c r="AC56" s="59">
        <f t="shared" si="13"/>
        <v>0</v>
      </c>
      <c r="AD56" s="59">
        <f t="shared" si="13"/>
        <v>0</v>
      </c>
      <c r="AE56" s="59">
        <f t="shared" si="13"/>
        <v>0</v>
      </c>
      <c r="AF56" s="59">
        <f t="shared" si="13"/>
        <v>0</v>
      </c>
      <c r="AG56" s="47"/>
      <c r="AH56" s="53">
        <f>SUM(R56:AG56)</f>
        <v>1796579</v>
      </c>
      <c r="AI56" s="51"/>
      <c r="AJ56" s="218">
        <f t="shared" si="2"/>
        <v>0</v>
      </c>
    </row>
    <row r="57" spans="1:37" s="36" customFormat="1" ht="15.75" x14ac:dyDescent="0.25">
      <c r="A57" s="106" t="s">
        <v>52</v>
      </c>
      <c r="B57" s="107"/>
      <c r="C57" s="101" t="s">
        <v>373</v>
      </c>
      <c r="D57" s="102"/>
      <c r="E57" s="107"/>
      <c r="F57" s="102"/>
      <c r="G57" s="276"/>
      <c r="H57" s="276"/>
      <c r="I57" s="84"/>
      <c r="J57" s="102"/>
      <c r="K57" s="102"/>
      <c r="L57" s="102"/>
      <c r="M57" s="102"/>
      <c r="N57" s="84"/>
      <c r="O57" s="84"/>
      <c r="P57" s="84"/>
      <c r="Q57" s="193"/>
      <c r="R57" s="85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47"/>
      <c r="AH57" s="85"/>
      <c r="AI57" s="51"/>
      <c r="AJ57" s="218">
        <f t="shared" si="2"/>
        <v>0</v>
      </c>
    </row>
    <row r="58" spans="1:37" s="36" customFormat="1" ht="15.75" x14ac:dyDescent="0.25">
      <c r="A58" s="316" t="s">
        <v>49</v>
      </c>
      <c r="B58" s="317" t="s">
        <v>374</v>
      </c>
      <c r="C58" s="310" t="s">
        <v>373</v>
      </c>
      <c r="D58" s="310" t="s">
        <v>630</v>
      </c>
      <c r="E58" s="317" t="s">
        <v>51</v>
      </c>
      <c r="F58" s="310" t="s">
        <v>237</v>
      </c>
      <c r="G58" s="318">
        <v>43965</v>
      </c>
      <c r="H58" s="318">
        <v>44020</v>
      </c>
      <c r="I58" s="331">
        <f>H58-G58</f>
        <v>55</v>
      </c>
      <c r="J58" s="310" t="s">
        <v>370</v>
      </c>
      <c r="K58" s="318">
        <v>44033</v>
      </c>
      <c r="L58" s="318">
        <v>44371</v>
      </c>
      <c r="M58" s="318"/>
      <c r="N58" s="311">
        <f>((L58-K58)/7)/4.3</f>
        <v>11.22923588039867</v>
      </c>
      <c r="O58" s="311"/>
      <c r="P58" s="311"/>
      <c r="Q58" s="306">
        <v>9534114</v>
      </c>
      <c r="R58" s="115">
        <v>4251267</v>
      </c>
      <c r="S58" s="115">
        <v>974630</v>
      </c>
      <c r="T58" s="115">
        <v>965506</v>
      </c>
      <c r="U58" s="115">
        <v>726926</v>
      </c>
      <c r="V58" s="115">
        <v>1007479</v>
      </c>
      <c r="W58" s="115">
        <v>748387</v>
      </c>
      <c r="X58" s="115">
        <v>599421</v>
      </c>
      <c r="Y58" s="115">
        <v>93601</v>
      </c>
      <c r="Z58" s="115">
        <v>88474</v>
      </c>
      <c r="AA58" s="275">
        <v>50000</v>
      </c>
      <c r="AB58" s="275">
        <v>36897</v>
      </c>
      <c r="AC58" s="53"/>
      <c r="AD58" s="53"/>
      <c r="AE58" s="53"/>
      <c r="AF58" s="53"/>
      <c r="AG58" s="47"/>
      <c r="AH58" s="53">
        <f>SUM(R58:AG58)</f>
        <v>9542588</v>
      </c>
      <c r="AI58" s="51"/>
      <c r="AJ58" s="218">
        <f t="shared" si="2"/>
        <v>8474</v>
      </c>
      <c r="AK58" s="36" t="s">
        <v>657</v>
      </c>
    </row>
    <row r="59" spans="1:37" s="36" customFormat="1" ht="15.75" x14ac:dyDescent="0.25">
      <c r="A59" s="312" t="s">
        <v>55</v>
      </c>
      <c r="B59" s="313" t="s">
        <v>376</v>
      </c>
      <c r="C59" s="310" t="s">
        <v>373</v>
      </c>
      <c r="D59" s="310" t="s">
        <v>401</v>
      </c>
      <c r="E59" s="313" t="s">
        <v>57</v>
      </c>
      <c r="F59" s="310" t="s">
        <v>237</v>
      </c>
      <c r="G59" s="318">
        <v>43998</v>
      </c>
      <c r="H59" s="318">
        <v>44005</v>
      </c>
      <c r="I59" s="331">
        <f>H59-G59</f>
        <v>7</v>
      </c>
      <c r="J59" s="310" t="s">
        <v>370</v>
      </c>
      <c r="K59" s="318">
        <v>44124</v>
      </c>
      <c r="L59" s="318">
        <v>44392</v>
      </c>
      <c r="M59" s="318"/>
      <c r="N59" s="311">
        <f>((L59-K59)/7)/4.3</f>
        <v>8.9036544850498345</v>
      </c>
      <c r="O59" s="311"/>
      <c r="P59" s="311"/>
      <c r="Q59" s="306">
        <v>1208821</v>
      </c>
      <c r="R59" s="115">
        <v>501155</v>
      </c>
      <c r="S59" s="115">
        <v>186495</v>
      </c>
      <c r="T59" s="115">
        <v>202246</v>
      </c>
      <c r="U59" s="115">
        <v>66602</v>
      </c>
      <c r="V59" s="115">
        <v>48430</v>
      </c>
      <c r="W59" s="115">
        <v>7649</v>
      </c>
      <c r="X59" s="115">
        <v>118643</v>
      </c>
      <c r="Y59" s="115">
        <v>54525</v>
      </c>
      <c r="Z59" s="115">
        <v>32612</v>
      </c>
      <c r="AA59" s="275">
        <v>6000</v>
      </c>
      <c r="AB59" s="53"/>
      <c r="AC59" s="53"/>
      <c r="AD59" s="53"/>
      <c r="AE59" s="53"/>
      <c r="AF59" s="53"/>
      <c r="AG59" s="47"/>
      <c r="AH59" s="53">
        <f>SUM(R59:AG59)</f>
        <v>1224357</v>
      </c>
      <c r="AI59" s="51"/>
      <c r="AJ59" s="218">
        <f t="shared" si="2"/>
        <v>15536</v>
      </c>
      <c r="AK59" s="36" t="s">
        <v>658</v>
      </c>
    </row>
    <row r="60" spans="1:37" s="36" customFormat="1" ht="15.75" x14ac:dyDescent="0.25">
      <c r="A60" s="104" t="s">
        <v>129</v>
      </c>
      <c r="B60" s="105" t="s">
        <v>130</v>
      </c>
      <c r="C60" s="52" t="s">
        <v>373</v>
      </c>
      <c r="D60" s="52" t="s">
        <v>633</v>
      </c>
      <c r="E60" s="65" t="s">
        <v>131</v>
      </c>
      <c r="F60" s="52" t="s">
        <v>46</v>
      </c>
      <c r="G60" s="330">
        <v>43962</v>
      </c>
      <c r="H60" s="330">
        <v>44018</v>
      </c>
      <c r="I60" s="333">
        <f>H60-G60</f>
        <v>56</v>
      </c>
      <c r="J60" s="52" t="s">
        <v>370</v>
      </c>
      <c r="K60" s="330">
        <v>44136</v>
      </c>
      <c r="L60" s="52">
        <v>44498</v>
      </c>
      <c r="M60" s="52"/>
      <c r="N60" s="50">
        <f>((L60-K60)/7)/4.3</f>
        <v>12.026578073089702</v>
      </c>
      <c r="O60" s="50"/>
      <c r="P60" s="50"/>
      <c r="Q60" s="182">
        <v>1809504</v>
      </c>
      <c r="R60" s="115">
        <v>407476</v>
      </c>
      <c r="S60" s="115">
        <v>214131</v>
      </c>
      <c r="T60" s="115">
        <v>74131</v>
      </c>
      <c r="U60" s="115">
        <v>135778</v>
      </c>
      <c r="V60" s="115">
        <v>437832</v>
      </c>
      <c r="W60" s="115">
        <v>31174</v>
      </c>
      <c r="X60" s="115">
        <v>82243</v>
      </c>
      <c r="Y60" s="115">
        <v>45087</v>
      </c>
      <c r="Z60" s="115">
        <v>149925</v>
      </c>
      <c r="AA60" s="275">
        <v>100000</v>
      </c>
      <c r="AB60" s="275">
        <v>100000</v>
      </c>
      <c r="AC60" s="275">
        <v>50000</v>
      </c>
      <c r="AD60" s="53"/>
      <c r="AE60" s="53"/>
      <c r="AF60" s="53"/>
      <c r="AG60" s="47"/>
      <c r="AH60" s="53">
        <f>SUM(R60:AG60)</f>
        <v>1827777</v>
      </c>
      <c r="AI60" s="51"/>
      <c r="AJ60" s="218">
        <f t="shared" si="2"/>
        <v>18273</v>
      </c>
    </row>
    <row r="61" spans="1:37" s="36" customFormat="1" ht="15.75" x14ac:dyDescent="0.25">
      <c r="A61" s="104" t="s">
        <v>139</v>
      </c>
      <c r="B61" s="105" t="s">
        <v>140</v>
      </c>
      <c r="C61" s="52" t="s">
        <v>373</v>
      </c>
      <c r="D61" s="87" t="s">
        <v>564</v>
      </c>
      <c r="E61" s="65" t="s">
        <v>141</v>
      </c>
      <c r="F61" s="87" t="s">
        <v>46</v>
      </c>
      <c r="G61" s="329">
        <v>44104</v>
      </c>
      <c r="H61" s="329">
        <v>44194</v>
      </c>
      <c r="I61" s="333">
        <f>H61-G61</f>
        <v>90</v>
      </c>
      <c r="J61" s="52" t="s">
        <v>370</v>
      </c>
      <c r="K61" s="330">
        <v>44224</v>
      </c>
      <c r="L61" s="52">
        <v>44484</v>
      </c>
      <c r="M61" s="52"/>
      <c r="N61" s="50">
        <f>((L61-K61)/7)/4.3</f>
        <v>8.6378737541528245</v>
      </c>
      <c r="O61" s="50"/>
      <c r="P61" s="50"/>
      <c r="Q61" s="182">
        <v>1641198</v>
      </c>
      <c r="R61" s="115">
        <v>103605</v>
      </c>
      <c r="S61" s="115">
        <v>0</v>
      </c>
      <c r="T61" s="115">
        <v>71204</v>
      </c>
      <c r="U61" s="115">
        <v>158532</v>
      </c>
      <c r="V61" s="115">
        <v>124183</v>
      </c>
      <c r="W61" s="115">
        <f>236910+83209</f>
        <v>320119</v>
      </c>
      <c r="X61" s="115">
        <v>192377</v>
      </c>
      <c r="Y61" s="115">
        <v>74223</v>
      </c>
      <c r="Z61" s="115">
        <v>357461</v>
      </c>
      <c r="AA61" s="275">
        <v>150000</v>
      </c>
      <c r="AB61" s="275">
        <v>75000</v>
      </c>
      <c r="AC61" s="275">
        <v>29784</v>
      </c>
      <c r="AD61" s="53"/>
      <c r="AE61" s="53"/>
      <c r="AF61" s="53"/>
      <c r="AG61" s="47"/>
      <c r="AH61" s="53">
        <f>SUM(R61:AG61)</f>
        <v>1656488</v>
      </c>
      <c r="AI61" s="51"/>
      <c r="AJ61" s="218">
        <f t="shared" si="2"/>
        <v>15290</v>
      </c>
    </row>
    <row r="62" spans="1:37" s="36" customFormat="1" ht="15.75" x14ac:dyDescent="0.25">
      <c r="A62" s="93"/>
      <c r="B62" s="94"/>
      <c r="C62" s="91"/>
      <c r="D62" s="91"/>
      <c r="E62" s="94"/>
      <c r="F62" s="91"/>
      <c r="G62" s="91"/>
      <c r="H62" s="91"/>
      <c r="I62" s="92"/>
      <c r="J62" s="91"/>
      <c r="K62" s="91"/>
      <c r="L62" s="91"/>
      <c r="M62" s="91"/>
      <c r="N62" s="92"/>
      <c r="O62" s="92"/>
      <c r="P62" s="92"/>
      <c r="Q62" s="243">
        <f>SUM(Q58:Q61)</f>
        <v>14193637</v>
      </c>
      <c r="R62" s="59">
        <f>SUM(R58:R61)</f>
        <v>5263503</v>
      </c>
      <c r="S62" s="59">
        <f>SUM(S58:S61)</f>
        <v>1375256</v>
      </c>
      <c r="T62" s="59">
        <f t="shared" ref="T62:AD62" si="14">SUM(T58:T61)</f>
        <v>1313087</v>
      </c>
      <c r="U62" s="59">
        <f t="shared" si="14"/>
        <v>1087838</v>
      </c>
      <c r="V62" s="59">
        <f t="shared" si="14"/>
        <v>1617924</v>
      </c>
      <c r="W62" s="59">
        <f t="shared" si="14"/>
        <v>1107329</v>
      </c>
      <c r="X62" s="59">
        <f t="shared" si="14"/>
        <v>992684</v>
      </c>
      <c r="Y62" s="59">
        <f t="shared" si="14"/>
        <v>267436</v>
      </c>
      <c r="Z62" s="59">
        <f t="shared" si="14"/>
        <v>628472</v>
      </c>
      <c r="AA62" s="59">
        <f t="shared" si="14"/>
        <v>306000</v>
      </c>
      <c r="AB62" s="59">
        <f t="shared" si="14"/>
        <v>211897</v>
      </c>
      <c r="AC62" s="59">
        <f t="shared" si="14"/>
        <v>79784</v>
      </c>
      <c r="AD62" s="59">
        <f t="shared" si="14"/>
        <v>0</v>
      </c>
      <c r="AE62" s="59">
        <f>SUM(AE58:AE61)</f>
        <v>0</v>
      </c>
      <c r="AF62" s="59">
        <f>SUM(AF58:AF61)</f>
        <v>0</v>
      </c>
      <c r="AG62" s="47"/>
      <c r="AH62" s="53">
        <f>SUM(R62:AG62)</f>
        <v>14251210</v>
      </c>
      <c r="AI62" s="51"/>
      <c r="AJ62" s="218">
        <f t="shared" si="2"/>
        <v>57573</v>
      </c>
    </row>
    <row r="63" spans="1:37" s="36" customFormat="1" ht="15.75" x14ac:dyDescent="0.25">
      <c r="A63" s="106" t="s">
        <v>571</v>
      </c>
      <c r="B63" s="107"/>
      <c r="C63" s="101" t="s">
        <v>563</v>
      </c>
      <c r="D63" s="102"/>
      <c r="E63" s="107"/>
      <c r="F63" s="102"/>
      <c r="G63" s="276"/>
      <c r="H63" s="276"/>
      <c r="I63" s="84"/>
      <c r="J63" s="102"/>
      <c r="K63" s="102"/>
      <c r="L63" s="102"/>
      <c r="M63" s="102"/>
      <c r="N63" s="84"/>
      <c r="O63" s="84"/>
      <c r="P63" s="84"/>
      <c r="Q63" s="193"/>
      <c r="R63" s="85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47"/>
      <c r="AH63" s="85"/>
      <c r="AI63" s="51"/>
      <c r="AJ63" s="218">
        <f t="shared" si="2"/>
        <v>0</v>
      </c>
    </row>
    <row r="64" spans="1:37" s="36" customFormat="1" ht="15.75" x14ac:dyDescent="0.25">
      <c r="A64" s="34" t="s">
        <v>60</v>
      </c>
      <c r="B64" s="35" t="s">
        <v>377</v>
      </c>
      <c r="C64" s="52" t="s">
        <v>563</v>
      </c>
      <c r="D64" s="52" t="s">
        <v>631</v>
      </c>
      <c r="E64" s="35" t="s">
        <v>62</v>
      </c>
      <c r="F64" s="52" t="s">
        <v>46</v>
      </c>
      <c r="G64" s="330">
        <v>44054</v>
      </c>
      <c r="H64" s="330">
        <v>44147</v>
      </c>
      <c r="I64" s="333">
        <f>H64-G64</f>
        <v>93</v>
      </c>
      <c r="J64" s="52" t="s">
        <v>370</v>
      </c>
      <c r="K64" s="329">
        <v>44119</v>
      </c>
      <c r="L64" s="87">
        <v>44531</v>
      </c>
      <c r="M64" s="87"/>
      <c r="N64" s="88">
        <f>((L64-K64)/7)/4.3</f>
        <v>13.687707641196013</v>
      </c>
      <c r="O64" s="88"/>
      <c r="P64" s="88"/>
      <c r="Q64" s="181">
        <v>13107911</v>
      </c>
      <c r="R64" s="115">
        <v>802663</v>
      </c>
      <c r="S64" s="115">
        <v>1051823</v>
      </c>
      <c r="T64" s="115">
        <v>822272</v>
      </c>
      <c r="U64" s="115">
        <v>1170091</v>
      </c>
      <c r="V64" s="115">
        <v>1068761</v>
      </c>
      <c r="W64" s="115">
        <v>823660</v>
      </c>
      <c r="X64" s="115">
        <v>1536928</v>
      </c>
      <c r="Y64" s="115">
        <v>1558003</v>
      </c>
      <c r="Z64" s="115">
        <v>1521211</v>
      </c>
      <c r="AA64" s="275">
        <v>950000</v>
      </c>
      <c r="AB64" s="275">
        <v>950000</v>
      </c>
      <c r="AC64" s="275">
        <v>800000</v>
      </c>
      <c r="AD64" s="275">
        <v>303147</v>
      </c>
      <c r="AE64" s="58"/>
      <c r="AF64" s="53"/>
      <c r="AG64" s="47"/>
      <c r="AH64" s="53">
        <f>SUM(R64:AG64)</f>
        <v>13358559</v>
      </c>
      <c r="AI64" s="51"/>
      <c r="AJ64" s="218">
        <f t="shared" si="2"/>
        <v>250648</v>
      </c>
    </row>
    <row r="65" spans="1:36" s="36" customFormat="1" ht="15.75" x14ac:dyDescent="0.25">
      <c r="A65" s="93"/>
      <c r="B65" s="94"/>
      <c r="C65" s="91"/>
      <c r="D65" s="91"/>
      <c r="E65" s="94"/>
      <c r="F65" s="91"/>
      <c r="G65" s="91"/>
      <c r="H65" s="91"/>
      <c r="I65" s="92"/>
      <c r="J65" s="91"/>
      <c r="K65" s="91"/>
      <c r="L65" s="91"/>
      <c r="M65" s="91"/>
      <c r="N65" s="92"/>
      <c r="O65" s="92"/>
      <c r="P65" s="92"/>
      <c r="Q65" s="59">
        <f>SUM(Q64)</f>
        <v>13107911</v>
      </c>
      <c r="R65" s="59">
        <f>SUM(R64)</f>
        <v>802663</v>
      </c>
      <c r="S65" s="59">
        <f>SUM(S64)</f>
        <v>1051823</v>
      </c>
      <c r="T65" s="59">
        <f>SUM(T64)</f>
        <v>822272</v>
      </c>
      <c r="U65" s="59">
        <f t="shared" ref="U65:AC65" si="15">SUM(U64)</f>
        <v>1170091</v>
      </c>
      <c r="V65" s="59">
        <f t="shared" si="15"/>
        <v>1068761</v>
      </c>
      <c r="W65" s="59">
        <f t="shared" si="15"/>
        <v>823660</v>
      </c>
      <c r="X65" s="59">
        <f t="shared" si="15"/>
        <v>1536928</v>
      </c>
      <c r="Y65" s="59">
        <f t="shared" si="15"/>
        <v>1558003</v>
      </c>
      <c r="Z65" s="59">
        <f t="shared" si="15"/>
        <v>1521211</v>
      </c>
      <c r="AA65" s="59">
        <f t="shared" si="15"/>
        <v>950000</v>
      </c>
      <c r="AB65" s="59">
        <f t="shared" si="15"/>
        <v>950000</v>
      </c>
      <c r="AC65" s="59">
        <f t="shared" si="15"/>
        <v>800000</v>
      </c>
      <c r="AD65" s="59">
        <f>SUM(AD64)</f>
        <v>303147</v>
      </c>
      <c r="AE65" s="59">
        <f>SUM(AE64)</f>
        <v>0</v>
      </c>
      <c r="AF65" s="59">
        <f>SUM(AF64)</f>
        <v>0</v>
      </c>
      <c r="AG65" s="47"/>
      <c r="AH65" s="53">
        <f>SUM(R65:AG65)</f>
        <v>13358559</v>
      </c>
      <c r="AI65" s="51"/>
      <c r="AJ65" s="218">
        <f t="shared" si="2"/>
        <v>250648</v>
      </c>
    </row>
    <row r="66" spans="1:36" s="36" customFormat="1" ht="15.75" x14ac:dyDescent="0.25">
      <c r="A66" s="106" t="s">
        <v>517</v>
      </c>
      <c r="B66" s="107"/>
      <c r="C66" s="101" t="s">
        <v>563</v>
      </c>
      <c r="D66" s="102"/>
      <c r="E66" s="107"/>
      <c r="F66" s="102"/>
      <c r="G66" s="276"/>
      <c r="H66" s="276"/>
      <c r="I66" s="84"/>
      <c r="J66" s="102"/>
      <c r="K66" s="102"/>
      <c r="L66" s="102"/>
      <c r="M66" s="102"/>
      <c r="N66" s="84"/>
      <c r="O66" s="84"/>
      <c r="P66" s="84"/>
      <c r="Q66" s="193"/>
      <c r="R66" s="85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47"/>
      <c r="AH66" s="85"/>
      <c r="AI66" s="51"/>
      <c r="AJ66" s="218">
        <f t="shared" si="2"/>
        <v>0</v>
      </c>
    </row>
    <row r="67" spans="1:36" s="36" customFormat="1" ht="15.75" x14ac:dyDescent="0.25">
      <c r="A67" s="312" t="s">
        <v>634</v>
      </c>
      <c r="B67" s="312" t="s">
        <v>576</v>
      </c>
      <c r="C67" s="310" t="s">
        <v>563</v>
      </c>
      <c r="D67" s="310" t="s">
        <v>708</v>
      </c>
      <c r="E67" s="312" t="s">
        <v>685</v>
      </c>
      <c r="F67" s="310" t="s">
        <v>237</v>
      </c>
      <c r="G67" s="318" t="s">
        <v>24</v>
      </c>
      <c r="H67" s="318" t="s">
        <v>24</v>
      </c>
      <c r="I67" s="318" t="s">
        <v>24</v>
      </c>
      <c r="J67" s="318" t="s">
        <v>24</v>
      </c>
      <c r="K67" s="318">
        <v>44382</v>
      </c>
      <c r="L67" s="318">
        <v>44428</v>
      </c>
      <c r="M67" s="318"/>
      <c r="N67" s="311">
        <f>((L67-K67)/7)/4.3</f>
        <v>1.5282392026578073</v>
      </c>
      <c r="O67" s="311"/>
      <c r="P67" s="311"/>
      <c r="Q67" s="306">
        <v>89125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15">
        <v>0</v>
      </c>
      <c r="Y67" s="115">
        <v>0</v>
      </c>
      <c r="Z67" s="115">
        <v>28797</v>
      </c>
      <c r="AA67" s="53"/>
      <c r="AB67" s="53"/>
      <c r="AC67" s="53"/>
      <c r="AD67" s="53"/>
      <c r="AE67" s="275">
        <v>89125</v>
      </c>
      <c r="AF67" s="53"/>
      <c r="AG67" s="47"/>
      <c r="AH67" s="53">
        <f>SUM(R67:AG67)</f>
        <v>117922</v>
      </c>
      <c r="AI67" s="51"/>
      <c r="AJ67" s="218">
        <f t="shared" si="2"/>
        <v>28797</v>
      </c>
    </row>
    <row r="68" spans="1:36" s="36" customFormat="1" ht="15.75" x14ac:dyDescent="0.25">
      <c r="A68" s="312" t="s">
        <v>635</v>
      </c>
      <c r="B68" s="312" t="s">
        <v>577</v>
      </c>
      <c r="C68" s="310" t="s">
        <v>563</v>
      </c>
      <c r="D68" s="310" t="s">
        <v>708</v>
      </c>
      <c r="E68" s="312" t="s">
        <v>686</v>
      </c>
      <c r="F68" s="310" t="s">
        <v>237</v>
      </c>
      <c r="G68" s="318" t="s">
        <v>24</v>
      </c>
      <c r="H68" s="318" t="s">
        <v>24</v>
      </c>
      <c r="I68" s="318" t="s">
        <v>24</v>
      </c>
      <c r="J68" s="318" t="s">
        <v>24</v>
      </c>
      <c r="K68" s="318">
        <v>44382</v>
      </c>
      <c r="L68" s="318">
        <v>44428</v>
      </c>
      <c r="M68" s="318"/>
      <c r="N68" s="311">
        <f t="shared" ref="N68:N81" si="16">((L68-K68)/7)/4.3</f>
        <v>1.5282392026578073</v>
      </c>
      <c r="O68" s="311"/>
      <c r="P68" s="311"/>
      <c r="Q68" s="306">
        <v>75650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24902</v>
      </c>
      <c r="AA68" s="53"/>
      <c r="AB68" s="53"/>
      <c r="AC68" s="53"/>
      <c r="AD68" s="53"/>
      <c r="AE68" s="275">
        <v>75650</v>
      </c>
      <c r="AF68" s="53"/>
      <c r="AG68" s="47"/>
      <c r="AH68" s="53">
        <f>SUM(R68:AG68)</f>
        <v>100552</v>
      </c>
      <c r="AI68" s="51"/>
      <c r="AJ68" s="218">
        <f t="shared" si="2"/>
        <v>24902</v>
      </c>
    </row>
    <row r="69" spans="1:36" s="36" customFormat="1" ht="15.75" x14ac:dyDescent="0.25">
      <c r="A69" s="312" t="s">
        <v>534</v>
      </c>
      <c r="B69" s="313" t="s">
        <v>674</v>
      </c>
      <c r="C69" s="310" t="s">
        <v>563</v>
      </c>
      <c r="D69" s="310" t="s">
        <v>708</v>
      </c>
      <c r="E69" s="313" t="s">
        <v>636</v>
      </c>
      <c r="F69" s="310" t="s">
        <v>237</v>
      </c>
      <c r="G69" s="318">
        <v>44299</v>
      </c>
      <c r="H69" s="318">
        <v>44313</v>
      </c>
      <c r="I69" s="331">
        <f t="shared" ref="I69:I81" si="17">H69-G69</f>
        <v>14</v>
      </c>
      <c r="J69" s="310" t="s">
        <v>370</v>
      </c>
      <c r="K69" s="318">
        <v>44333</v>
      </c>
      <c r="L69" s="318">
        <v>44356</v>
      </c>
      <c r="M69" s="310"/>
      <c r="N69" s="311">
        <f t="shared" si="16"/>
        <v>0.76411960132890366</v>
      </c>
      <c r="O69" s="311"/>
      <c r="P69" s="311"/>
      <c r="Q69" s="306">
        <v>67027</v>
      </c>
      <c r="R69" s="115">
        <v>0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67027</v>
      </c>
      <c r="Y69" s="115">
        <v>0</v>
      </c>
      <c r="Z69" s="115">
        <v>0</v>
      </c>
      <c r="AA69" s="53"/>
      <c r="AB69" s="53"/>
      <c r="AC69" s="53"/>
      <c r="AD69" s="53"/>
      <c r="AE69" s="53"/>
      <c r="AF69" s="53"/>
      <c r="AG69" s="47"/>
      <c r="AH69" s="53">
        <f t="shared" ref="AH69:AH81" si="18">SUM(R69:AG69)</f>
        <v>67027</v>
      </c>
      <c r="AI69" s="51"/>
      <c r="AJ69" s="218">
        <f t="shared" ref="AJ69:AJ132" si="19">AH69-Q69</f>
        <v>0</v>
      </c>
    </row>
    <row r="70" spans="1:36" s="36" customFormat="1" ht="15.75" x14ac:dyDescent="0.25">
      <c r="A70" s="60" t="s">
        <v>560</v>
      </c>
      <c r="B70" s="61" t="s">
        <v>637</v>
      </c>
      <c r="C70" s="52" t="s">
        <v>563</v>
      </c>
      <c r="D70" s="87" t="s">
        <v>708</v>
      </c>
      <c r="E70" s="112" t="s">
        <v>638</v>
      </c>
      <c r="F70" s="52" t="s">
        <v>46</v>
      </c>
      <c r="G70" s="330">
        <v>44369</v>
      </c>
      <c r="H70" s="330">
        <v>44389</v>
      </c>
      <c r="I70" s="333">
        <f t="shared" si="17"/>
        <v>20</v>
      </c>
      <c r="J70" s="52" t="s">
        <v>370</v>
      </c>
      <c r="K70" s="330">
        <v>44382</v>
      </c>
      <c r="L70" s="52">
        <v>44449</v>
      </c>
      <c r="M70" s="52"/>
      <c r="N70" s="88">
        <f t="shared" si="16"/>
        <v>2.2259136212624586</v>
      </c>
      <c r="O70" s="50"/>
      <c r="P70" s="50"/>
      <c r="Q70" s="182">
        <v>38040</v>
      </c>
      <c r="R70" s="115">
        <v>0</v>
      </c>
      <c r="S70" s="115">
        <v>0</v>
      </c>
      <c r="T70" s="115">
        <v>0</v>
      </c>
      <c r="U70" s="115">
        <v>0</v>
      </c>
      <c r="V70" s="115">
        <v>0</v>
      </c>
      <c r="W70" s="115">
        <v>0</v>
      </c>
      <c r="X70" s="115">
        <v>0</v>
      </c>
      <c r="Y70" s="115">
        <v>0</v>
      </c>
      <c r="Z70" s="115">
        <v>38040</v>
      </c>
      <c r="AA70" s="58"/>
      <c r="AB70" s="58"/>
      <c r="AC70" s="58"/>
      <c r="AD70" s="58"/>
      <c r="AE70" s="58"/>
      <c r="AF70" s="53"/>
      <c r="AG70" s="47"/>
      <c r="AH70" s="53">
        <f>SUM(R70:AG70)</f>
        <v>38040</v>
      </c>
      <c r="AI70" s="51"/>
      <c r="AJ70" s="218">
        <f t="shared" si="19"/>
        <v>0</v>
      </c>
    </row>
    <row r="71" spans="1:36" s="36" customFormat="1" ht="15.75" x14ac:dyDescent="0.25">
      <c r="A71" s="316" t="s">
        <v>556</v>
      </c>
      <c r="B71" s="317" t="s">
        <v>672</v>
      </c>
      <c r="C71" s="310" t="s">
        <v>563</v>
      </c>
      <c r="D71" s="310" t="s">
        <v>708</v>
      </c>
      <c r="E71" s="317" t="s">
        <v>640</v>
      </c>
      <c r="F71" s="310" t="s">
        <v>237</v>
      </c>
      <c r="G71" s="318">
        <v>44330</v>
      </c>
      <c r="H71" s="318">
        <v>44362</v>
      </c>
      <c r="I71" s="331">
        <f t="shared" si="17"/>
        <v>32</v>
      </c>
      <c r="J71" s="310" t="s">
        <v>370</v>
      </c>
      <c r="K71" s="318">
        <v>44368</v>
      </c>
      <c r="L71" s="318">
        <v>44425</v>
      </c>
      <c r="M71" s="318"/>
      <c r="N71" s="311">
        <f t="shared" si="16"/>
        <v>1.893687707641196</v>
      </c>
      <c r="O71" s="311"/>
      <c r="P71" s="311"/>
      <c r="Q71" s="306">
        <v>74344</v>
      </c>
      <c r="R71" s="115">
        <v>0</v>
      </c>
      <c r="S71" s="115"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74344</v>
      </c>
      <c r="AA71" s="58"/>
      <c r="AB71" s="58"/>
      <c r="AC71" s="58"/>
      <c r="AD71" s="58"/>
      <c r="AE71" s="58"/>
      <c r="AF71" s="53"/>
      <c r="AG71" s="47"/>
      <c r="AH71" s="53">
        <f>SUM(R71:AG71)</f>
        <v>74344</v>
      </c>
      <c r="AI71" s="51"/>
      <c r="AJ71" s="218">
        <f t="shared" si="19"/>
        <v>0</v>
      </c>
    </row>
    <row r="72" spans="1:36" s="36" customFormat="1" ht="15.75" x14ac:dyDescent="0.25">
      <c r="A72" s="316" t="s">
        <v>554</v>
      </c>
      <c r="B72" s="317" t="s">
        <v>673</v>
      </c>
      <c r="C72" s="310" t="s">
        <v>563</v>
      </c>
      <c r="D72" s="310" t="s">
        <v>708</v>
      </c>
      <c r="E72" s="317" t="s">
        <v>639</v>
      </c>
      <c r="F72" s="310" t="s">
        <v>237</v>
      </c>
      <c r="G72" s="318" t="s">
        <v>24</v>
      </c>
      <c r="H72" s="318" t="s">
        <v>24</v>
      </c>
      <c r="I72" s="331" t="s">
        <v>24</v>
      </c>
      <c r="J72" s="318" t="s">
        <v>24</v>
      </c>
      <c r="K72" s="318">
        <v>44358</v>
      </c>
      <c r="L72" s="318">
        <v>44379</v>
      </c>
      <c r="M72" s="310"/>
      <c r="N72" s="311">
        <f t="shared" si="16"/>
        <v>0.69767441860465118</v>
      </c>
      <c r="O72" s="311"/>
      <c r="P72" s="311"/>
      <c r="Q72" s="306">
        <v>6336</v>
      </c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6336</v>
      </c>
      <c r="AA72" s="58"/>
      <c r="AB72" s="58"/>
      <c r="AC72" s="58"/>
      <c r="AD72" s="58"/>
      <c r="AE72" s="58"/>
      <c r="AF72" s="53"/>
      <c r="AG72" s="47"/>
      <c r="AH72" s="53">
        <f>SUM(R72:AG72)</f>
        <v>6336</v>
      </c>
      <c r="AI72" s="51"/>
      <c r="AJ72" s="218">
        <f t="shared" si="19"/>
        <v>0</v>
      </c>
    </row>
    <row r="73" spans="1:36" s="36" customFormat="1" ht="15.75" x14ac:dyDescent="0.25">
      <c r="A73" s="104" t="s">
        <v>150</v>
      </c>
      <c r="B73" s="65" t="s">
        <v>151</v>
      </c>
      <c r="C73" s="52" t="s">
        <v>563</v>
      </c>
      <c r="D73" s="87" t="s">
        <v>708</v>
      </c>
      <c r="E73" s="65" t="s">
        <v>709</v>
      </c>
      <c r="F73" s="52" t="s">
        <v>46</v>
      </c>
      <c r="G73" s="330">
        <v>44369</v>
      </c>
      <c r="H73" s="347">
        <v>44442</v>
      </c>
      <c r="I73" s="50">
        <f t="shared" si="17"/>
        <v>73</v>
      </c>
      <c r="J73" s="52" t="s">
        <v>320</v>
      </c>
      <c r="K73" s="52">
        <v>44446</v>
      </c>
      <c r="L73" s="52">
        <v>44687</v>
      </c>
      <c r="M73" s="52"/>
      <c r="N73" s="88">
        <f t="shared" si="16"/>
        <v>8.0066445182724255</v>
      </c>
      <c r="O73" s="50"/>
      <c r="P73" s="50"/>
      <c r="Q73" s="182">
        <v>1910050</v>
      </c>
      <c r="R73" s="115">
        <v>0</v>
      </c>
      <c r="S73" s="115">
        <v>0</v>
      </c>
      <c r="T73" s="115">
        <v>0</v>
      </c>
      <c r="U73" s="115">
        <v>0</v>
      </c>
      <c r="V73" s="115">
        <v>0</v>
      </c>
      <c r="W73" s="115">
        <v>0</v>
      </c>
      <c r="X73" s="115">
        <f>119451</f>
        <v>119451</v>
      </c>
      <c r="Y73" s="115">
        <v>0</v>
      </c>
      <c r="Z73" s="115">
        <v>139349</v>
      </c>
      <c r="AA73" s="275">
        <v>115190</v>
      </c>
      <c r="AB73" s="275">
        <v>216487</v>
      </c>
      <c r="AC73" s="275">
        <v>291672</v>
      </c>
      <c r="AD73" s="275">
        <v>331677</v>
      </c>
      <c r="AE73" s="275">
        <v>735573</v>
      </c>
      <c r="AF73" s="58"/>
      <c r="AG73" s="47"/>
      <c r="AH73" s="53">
        <f t="shared" si="18"/>
        <v>1949399</v>
      </c>
      <c r="AI73" s="51"/>
      <c r="AJ73" s="218">
        <f t="shared" si="19"/>
        <v>39349</v>
      </c>
    </row>
    <row r="74" spans="1:36" s="36" customFormat="1" ht="15.75" x14ac:dyDescent="0.25">
      <c r="A74" s="104" t="s">
        <v>153</v>
      </c>
      <c r="B74" s="65" t="s">
        <v>424</v>
      </c>
      <c r="C74" s="52" t="s">
        <v>563</v>
      </c>
      <c r="D74" s="87" t="s">
        <v>708</v>
      </c>
      <c r="E74" s="65" t="s">
        <v>710</v>
      </c>
      <c r="F74" s="52" t="s">
        <v>46</v>
      </c>
      <c r="G74" s="52">
        <v>44459</v>
      </c>
      <c r="H74" s="347">
        <v>44491</v>
      </c>
      <c r="I74" s="50">
        <f t="shared" si="17"/>
        <v>32</v>
      </c>
      <c r="J74" s="52" t="s">
        <v>320</v>
      </c>
      <c r="K74" s="52">
        <v>44446</v>
      </c>
      <c r="L74" s="52">
        <v>44687</v>
      </c>
      <c r="M74" s="52"/>
      <c r="N74" s="88">
        <f t="shared" si="16"/>
        <v>8.0066445182724255</v>
      </c>
      <c r="O74" s="50"/>
      <c r="P74" s="50"/>
      <c r="Q74" s="182">
        <v>288979</v>
      </c>
      <c r="R74" s="115">
        <v>0</v>
      </c>
      <c r="S74" s="115">
        <v>0</v>
      </c>
      <c r="T74" s="115">
        <v>0</v>
      </c>
      <c r="U74" s="115">
        <v>0</v>
      </c>
      <c r="V74" s="115">
        <v>0</v>
      </c>
      <c r="W74" s="115">
        <v>0</v>
      </c>
      <c r="X74" s="115">
        <f>7826</f>
        <v>7826</v>
      </c>
      <c r="Y74" s="115">
        <v>0</v>
      </c>
      <c r="Z74" s="115">
        <v>9711</v>
      </c>
      <c r="AA74" s="275">
        <v>50000</v>
      </c>
      <c r="AB74" s="275">
        <v>50000</v>
      </c>
      <c r="AC74" s="275">
        <v>50000</v>
      </c>
      <c r="AD74" s="275">
        <v>50000</v>
      </c>
      <c r="AE74" s="275">
        <v>31153</v>
      </c>
      <c r="AF74" s="53"/>
      <c r="AG74" s="47"/>
      <c r="AH74" s="53">
        <f t="shared" si="18"/>
        <v>248690</v>
      </c>
      <c r="AI74" s="51"/>
      <c r="AJ74" s="218">
        <f t="shared" si="19"/>
        <v>-40289</v>
      </c>
    </row>
    <row r="75" spans="1:36" s="36" customFormat="1" ht="15.75" x14ac:dyDescent="0.25">
      <c r="A75" s="104" t="s">
        <v>425</v>
      </c>
      <c r="B75" s="65" t="s">
        <v>426</v>
      </c>
      <c r="C75" s="52" t="s">
        <v>563</v>
      </c>
      <c r="D75" s="87" t="s">
        <v>708</v>
      </c>
      <c r="E75" s="65" t="s">
        <v>711</v>
      </c>
      <c r="F75" s="52" t="s">
        <v>46</v>
      </c>
      <c r="G75" s="52">
        <v>44466</v>
      </c>
      <c r="H75" s="347">
        <v>44498</v>
      </c>
      <c r="I75" s="50">
        <f t="shared" si="17"/>
        <v>32</v>
      </c>
      <c r="J75" s="52" t="s">
        <v>320</v>
      </c>
      <c r="K75" s="52">
        <v>44446</v>
      </c>
      <c r="L75" s="52">
        <v>44687</v>
      </c>
      <c r="M75" s="52"/>
      <c r="N75" s="88">
        <f t="shared" si="16"/>
        <v>8.0066445182724255</v>
      </c>
      <c r="O75" s="50"/>
      <c r="P75" s="50"/>
      <c r="Q75" s="182">
        <v>366822</v>
      </c>
      <c r="R75" s="115">
        <v>0</v>
      </c>
      <c r="S75" s="115">
        <v>0</v>
      </c>
      <c r="T75" s="115">
        <v>0</v>
      </c>
      <c r="U75" s="115">
        <v>0</v>
      </c>
      <c r="V75" s="115">
        <v>0</v>
      </c>
      <c r="W75" s="115">
        <v>0</v>
      </c>
      <c r="X75" s="115">
        <f>7716</f>
        <v>7716</v>
      </c>
      <c r="Y75" s="115">
        <v>0</v>
      </c>
      <c r="Z75" s="115">
        <v>12408</v>
      </c>
      <c r="AA75" s="275">
        <v>75000</v>
      </c>
      <c r="AB75" s="275">
        <v>75000</v>
      </c>
      <c r="AC75" s="275">
        <v>75000</v>
      </c>
      <c r="AD75" s="275">
        <v>75000</v>
      </c>
      <c r="AE75" s="275">
        <v>9106</v>
      </c>
      <c r="AF75" s="53"/>
      <c r="AG75" s="47"/>
      <c r="AH75" s="53">
        <f t="shared" si="18"/>
        <v>329230</v>
      </c>
      <c r="AI75" s="51"/>
      <c r="AJ75" s="218">
        <f t="shared" si="19"/>
        <v>-37592</v>
      </c>
    </row>
    <row r="76" spans="1:36" s="36" customFormat="1" ht="15.75" x14ac:dyDescent="0.25">
      <c r="A76" s="316" t="s">
        <v>113</v>
      </c>
      <c r="B76" s="317" t="s">
        <v>114</v>
      </c>
      <c r="C76" s="310" t="s">
        <v>563</v>
      </c>
      <c r="D76" s="310" t="s">
        <v>708</v>
      </c>
      <c r="E76" s="317" t="s">
        <v>687</v>
      </c>
      <c r="F76" s="310" t="s">
        <v>237</v>
      </c>
      <c r="G76" s="318" t="s">
        <v>24</v>
      </c>
      <c r="H76" s="318" t="s">
        <v>24</v>
      </c>
      <c r="I76" s="331" t="s">
        <v>24</v>
      </c>
      <c r="J76" s="310" t="s">
        <v>370</v>
      </c>
      <c r="K76" s="318">
        <v>44256</v>
      </c>
      <c r="L76" s="318">
        <v>44347</v>
      </c>
      <c r="M76" s="318"/>
      <c r="N76" s="311">
        <f t="shared" si="16"/>
        <v>3.0232558139534884</v>
      </c>
      <c r="O76" s="311"/>
      <c r="P76" s="311"/>
      <c r="Q76" s="306">
        <v>52095</v>
      </c>
      <c r="R76" s="115">
        <v>0</v>
      </c>
      <c r="S76" s="115">
        <v>0</v>
      </c>
      <c r="T76" s="115">
        <v>0</v>
      </c>
      <c r="U76" s="115">
        <v>0</v>
      </c>
      <c r="V76" s="115">
        <v>0</v>
      </c>
      <c r="W76" s="115">
        <v>0</v>
      </c>
      <c r="X76" s="115">
        <v>52095</v>
      </c>
      <c r="Y76" s="115">
        <v>0</v>
      </c>
      <c r="Z76" s="115">
        <v>0</v>
      </c>
      <c r="AA76" s="53"/>
      <c r="AB76" s="53"/>
      <c r="AC76" s="53"/>
      <c r="AD76" s="53"/>
      <c r="AE76" s="53"/>
      <c r="AF76" s="53"/>
      <c r="AG76" s="47"/>
      <c r="AH76" s="53">
        <f t="shared" si="18"/>
        <v>52095</v>
      </c>
      <c r="AI76" s="51"/>
      <c r="AJ76" s="218">
        <f t="shared" si="19"/>
        <v>0</v>
      </c>
    </row>
    <row r="77" spans="1:36" s="36" customFormat="1" ht="15.75" x14ac:dyDescent="0.25">
      <c r="A77" s="312" t="s">
        <v>199</v>
      </c>
      <c r="B77" s="312" t="s">
        <v>675</v>
      </c>
      <c r="C77" s="310" t="s">
        <v>563</v>
      </c>
      <c r="D77" s="310" t="s">
        <v>708</v>
      </c>
      <c r="E77" s="312" t="s">
        <v>688</v>
      </c>
      <c r="F77" s="310" t="s">
        <v>237</v>
      </c>
      <c r="G77" s="318">
        <v>44277</v>
      </c>
      <c r="H77" s="318">
        <v>44302</v>
      </c>
      <c r="I77" s="331">
        <f t="shared" si="17"/>
        <v>25</v>
      </c>
      <c r="J77" s="310" t="s">
        <v>370</v>
      </c>
      <c r="K77" s="318">
        <v>44340</v>
      </c>
      <c r="L77" s="318">
        <v>44419</v>
      </c>
      <c r="M77" s="318"/>
      <c r="N77" s="311">
        <f t="shared" si="16"/>
        <v>2.6245847176079735</v>
      </c>
      <c r="O77" s="311"/>
      <c r="P77" s="311"/>
      <c r="Q77" s="306">
        <v>156692</v>
      </c>
      <c r="R77" s="115">
        <v>0</v>
      </c>
      <c r="S77" s="115">
        <v>0</v>
      </c>
      <c r="T77" s="115">
        <v>0</v>
      </c>
      <c r="U77" s="115">
        <v>0</v>
      </c>
      <c r="V77" s="115">
        <v>0</v>
      </c>
      <c r="W77" s="115">
        <v>0</v>
      </c>
      <c r="X77" s="115">
        <v>0</v>
      </c>
      <c r="Y77" s="115">
        <v>156692</v>
      </c>
      <c r="Z77" s="115">
        <v>0</v>
      </c>
      <c r="AA77" s="53"/>
      <c r="AB77" s="53"/>
      <c r="AC77" s="53"/>
      <c r="AD77" s="53"/>
      <c r="AE77" s="53"/>
      <c r="AF77" s="53"/>
      <c r="AG77" s="47"/>
      <c r="AH77" s="53">
        <f t="shared" si="18"/>
        <v>156692</v>
      </c>
      <c r="AI77" s="51"/>
      <c r="AJ77" s="218">
        <f t="shared" si="19"/>
        <v>0</v>
      </c>
    </row>
    <row r="78" spans="1:36" s="36" customFormat="1" ht="15.75" x14ac:dyDescent="0.25">
      <c r="A78" s="312" t="s">
        <v>201</v>
      </c>
      <c r="B78" s="312" t="s">
        <v>676</v>
      </c>
      <c r="C78" s="310" t="s">
        <v>563</v>
      </c>
      <c r="D78" s="310" t="s">
        <v>708</v>
      </c>
      <c r="E78" s="312" t="s">
        <v>690</v>
      </c>
      <c r="F78" s="310" t="s">
        <v>237</v>
      </c>
      <c r="G78" s="318">
        <v>44277</v>
      </c>
      <c r="H78" s="318">
        <v>44293</v>
      </c>
      <c r="I78" s="331">
        <f t="shared" si="17"/>
        <v>16</v>
      </c>
      <c r="J78" s="310" t="s">
        <v>370</v>
      </c>
      <c r="K78" s="318">
        <v>44340</v>
      </c>
      <c r="L78" s="318">
        <v>44417</v>
      </c>
      <c r="M78" s="318"/>
      <c r="N78" s="311">
        <f t="shared" si="16"/>
        <v>2.558139534883721</v>
      </c>
      <c r="O78" s="311"/>
      <c r="P78" s="311"/>
      <c r="Q78" s="306">
        <v>94557</v>
      </c>
      <c r="R78" s="115">
        <v>0</v>
      </c>
      <c r="S78" s="115">
        <v>0</v>
      </c>
      <c r="T78" s="115">
        <v>0</v>
      </c>
      <c r="U78" s="115">
        <v>0</v>
      </c>
      <c r="V78" s="115">
        <v>0</v>
      </c>
      <c r="W78" s="115">
        <v>0</v>
      </c>
      <c r="X78" s="115">
        <v>0</v>
      </c>
      <c r="Y78" s="115">
        <v>94557</v>
      </c>
      <c r="Z78" s="115">
        <v>0</v>
      </c>
      <c r="AA78" s="53"/>
      <c r="AB78" s="53"/>
      <c r="AC78" s="53"/>
      <c r="AD78" s="53"/>
      <c r="AE78" s="53"/>
      <c r="AF78" s="53"/>
      <c r="AG78" s="47"/>
      <c r="AH78" s="53">
        <f t="shared" si="18"/>
        <v>94557</v>
      </c>
      <c r="AI78" s="51"/>
      <c r="AJ78" s="218">
        <f t="shared" si="19"/>
        <v>0</v>
      </c>
    </row>
    <row r="79" spans="1:36" s="36" customFormat="1" ht="15.75" x14ac:dyDescent="0.25">
      <c r="A79" s="34" t="s">
        <v>529</v>
      </c>
      <c r="B79" s="34" t="s">
        <v>669</v>
      </c>
      <c r="C79" s="52" t="s">
        <v>563</v>
      </c>
      <c r="D79" s="87" t="s">
        <v>708</v>
      </c>
      <c r="E79" s="34" t="s">
        <v>692</v>
      </c>
      <c r="F79" s="52" t="s">
        <v>46</v>
      </c>
      <c r="G79" s="330">
        <v>44323</v>
      </c>
      <c r="H79" s="330">
        <v>44358</v>
      </c>
      <c r="I79" s="333">
        <f t="shared" si="17"/>
        <v>35</v>
      </c>
      <c r="J79" s="52" t="s">
        <v>370</v>
      </c>
      <c r="K79" s="330">
        <v>44383</v>
      </c>
      <c r="L79" s="52">
        <v>44449</v>
      </c>
      <c r="M79" s="52"/>
      <c r="N79" s="88">
        <f t="shared" si="16"/>
        <v>2.1926910299003324</v>
      </c>
      <c r="O79" s="50"/>
      <c r="P79" s="50"/>
      <c r="Q79" s="182">
        <v>101240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15">
        <v>36103</v>
      </c>
      <c r="Z79" s="115">
        <v>58225</v>
      </c>
      <c r="AA79" s="53"/>
      <c r="AB79" s="53"/>
      <c r="AC79" s="53"/>
      <c r="AD79" s="53"/>
      <c r="AE79" s="53"/>
      <c r="AF79" s="53"/>
      <c r="AG79" s="47"/>
      <c r="AH79" s="53">
        <f t="shared" si="18"/>
        <v>94328</v>
      </c>
      <c r="AI79" s="51"/>
      <c r="AJ79" s="218">
        <f t="shared" si="19"/>
        <v>-6912</v>
      </c>
    </row>
    <row r="80" spans="1:36" s="36" customFormat="1" ht="15.75" x14ac:dyDescent="0.25">
      <c r="A80" s="312" t="s">
        <v>527</v>
      </c>
      <c r="B80" s="313" t="s">
        <v>677</v>
      </c>
      <c r="C80" s="310" t="s">
        <v>563</v>
      </c>
      <c r="D80" s="310" t="s">
        <v>708</v>
      </c>
      <c r="E80" s="312" t="s">
        <v>693</v>
      </c>
      <c r="F80" s="310" t="s">
        <v>237</v>
      </c>
      <c r="G80" s="318">
        <v>44351</v>
      </c>
      <c r="H80" s="318">
        <v>44368</v>
      </c>
      <c r="I80" s="331">
        <f t="shared" si="17"/>
        <v>17</v>
      </c>
      <c r="J80" s="52" t="s">
        <v>370</v>
      </c>
      <c r="K80" s="318">
        <v>44375</v>
      </c>
      <c r="L80" s="302">
        <v>44438</v>
      </c>
      <c r="M80" s="302"/>
      <c r="N80" s="311">
        <f t="shared" si="16"/>
        <v>2.0930232558139537</v>
      </c>
      <c r="O80" s="311"/>
      <c r="P80" s="311"/>
      <c r="Q80" s="306">
        <v>36900</v>
      </c>
      <c r="R80" s="115">
        <v>0</v>
      </c>
      <c r="S80" s="115">
        <v>0</v>
      </c>
      <c r="T80" s="115">
        <v>0</v>
      </c>
      <c r="U80" s="115">
        <v>0</v>
      </c>
      <c r="V80" s="115">
        <v>0</v>
      </c>
      <c r="W80" s="115">
        <v>0</v>
      </c>
      <c r="X80" s="115">
        <v>0</v>
      </c>
      <c r="Y80" s="115">
        <v>36900</v>
      </c>
      <c r="Z80" s="115">
        <v>0</v>
      </c>
      <c r="AA80" s="58"/>
      <c r="AB80" s="53"/>
      <c r="AC80" s="53"/>
      <c r="AD80" s="53"/>
      <c r="AE80" s="58"/>
      <c r="AF80" s="58"/>
      <c r="AG80" s="47"/>
      <c r="AH80" s="53">
        <f t="shared" si="18"/>
        <v>36900</v>
      </c>
      <c r="AI80" s="51"/>
      <c r="AJ80" s="218">
        <f t="shared" si="19"/>
        <v>0</v>
      </c>
    </row>
    <row r="81" spans="1:36" s="36" customFormat="1" ht="15.75" x14ac:dyDescent="0.25">
      <c r="A81" s="62" t="s">
        <v>666</v>
      </c>
      <c r="B81" s="63" t="s">
        <v>670</v>
      </c>
      <c r="C81" s="52" t="s">
        <v>563</v>
      </c>
      <c r="D81" s="87" t="s">
        <v>708</v>
      </c>
      <c r="E81" s="34" t="s">
        <v>690</v>
      </c>
      <c r="F81" s="52" t="s">
        <v>46</v>
      </c>
      <c r="G81" s="299">
        <v>44440</v>
      </c>
      <c r="H81" s="348">
        <v>44456</v>
      </c>
      <c r="I81" s="344">
        <f t="shared" si="17"/>
        <v>16</v>
      </c>
      <c r="J81" s="52" t="s">
        <v>320</v>
      </c>
      <c r="K81" s="52">
        <v>44410</v>
      </c>
      <c r="L81" s="52">
        <v>44442</v>
      </c>
      <c r="M81" s="52"/>
      <c r="N81" s="88">
        <f t="shared" si="16"/>
        <v>1.0631229235880399</v>
      </c>
      <c r="O81" s="50"/>
      <c r="P81" s="50"/>
      <c r="Q81" s="182">
        <v>12885</v>
      </c>
      <c r="R81" s="115">
        <v>0</v>
      </c>
      <c r="S81" s="115">
        <v>0</v>
      </c>
      <c r="T81" s="115">
        <v>0</v>
      </c>
      <c r="U81" s="115">
        <v>0</v>
      </c>
      <c r="V81" s="115">
        <v>0</v>
      </c>
      <c r="W81" s="115">
        <v>0</v>
      </c>
      <c r="X81" s="115">
        <v>0</v>
      </c>
      <c r="Y81" s="115">
        <v>0</v>
      </c>
      <c r="Z81" s="115">
        <v>0</v>
      </c>
      <c r="AA81" s="275">
        <v>12885</v>
      </c>
      <c r="AB81" s="53"/>
      <c r="AC81" s="53"/>
      <c r="AD81" s="53"/>
      <c r="AE81" s="58"/>
      <c r="AF81" s="58"/>
      <c r="AG81" s="47"/>
      <c r="AH81" s="53">
        <f t="shared" si="18"/>
        <v>12885</v>
      </c>
      <c r="AI81" s="51"/>
      <c r="AJ81" s="218">
        <f t="shared" si="19"/>
        <v>0</v>
      </c>
    </row>
    <row r="82" spans="1:36" s="36" customFormat="1" ht="15.75" x14ac:dyDescent="0.25">
      <c r="A82" s="93"/>
      <c r="B82" s="94"/>
      <c r="C82" s="91"/>
      <c r="D82" s="91"/>
      <c r="E82" s="94"/>
      <c r="F82" s="91"/>
      <c r="G82" s="91"/>
      <c r="H82" s="91"/>
      <c r="I82" s="92"/>
      <c r="J82" s="91"/>
      <c r="K82" s="91"/>
      <c r="L82" s="91"/>
      <c r="M82" s="91"/>
      <c r="N82" s="92"/>
      <c r="O82" s="92"/>
      <c r="P82" s="92"/>
      <c r="Q82" s="243">
        <f t="shared" ref="Q82:AF82" si="20">SUM(Q67:Q81)</f>
        <v>3370742</v>
      </c>
      <c r="R82" s="59">
        <f t="shared" si="20"/>
        <v>0</v>
      </c>
      <c r="S82" s="59">
        <f t="shared" si="20"/>
        <v>0</v>
      </c>
      <c r="T82" s="59">
        <f t="shared" si="20"/>
        <v>0</v>
      </c>
      <c r="U82" s="59">
        <f t="shared" si="20"/>
        <v>0</v>
      </c>
      <c r="V82" s="59">
        <f t="shared" si="20"/>
        <v>0</v>
      </c>
      <c r="W82" s="59">
        <f t="shared" si="20"/>
        <v>0</v>
      </c>
      <c r="X82" s="59">
        <f t="shared" si="20"/>
        <v>254115</v>
      </c>
      <c r="Y82" s="59">
        <f t="shared" si="20"/>
        <v>324252</v>
      </c>
      <c r="Z82" s="59">
        <f t="shared" si="20"/>
        <v>392112</v>
      </c>
      <c r="AA82" s="59">
        <f t="shared" si="20"/>
        <v>253075</v>
      </c>
      <c r="AB82" s="59">
        <f t="shared" si="20"/>
        <v>341487</v>
      </c>
      <c r="AC82" s="59">
        <f t="shared" si="20"/>
        <v>416672</v>
      </c>
      <c r="AD82" s="59">
        <f t="shared" si="20"/>
        <v>456677</v>
      </c>
      <c r="AE82" s="59">
        <f t="shared" si="20"/>
        <v>940607</v>
      </c>
      <c r="AF82" s="59">
        <f t="shared" si="20"/>
        <v>0</v>
      </c>
      <c r="AG82" s="47"/>
      <c r="AH82" s="53">
        <f>SUM(R82:AG82)</f>
        <v>3378997</v>
      </c>
      <c r="AI82" s="51"/>
      <c r="AJ82" s="218">
        <f t="shared" si="19"/>
        <v>8255</v>
      </c>
    </row>
    <row r="83" spans="1:36" s="36" customFormat="1" ht="15.75" x14ac:dyDescent="0.25">
      <c r="A83" s="106" t="s">
        <v>667</v>
      </c>
      <c r="B83" s="107"/>
      <c r="C83" s="101" t="s">
        <v>563</v>
      </c>
      <c r="D83" s="102"/>
      <c r="E83" s="107"/>
      <c r="F83" s="102"/>
      <c r="G83" s="276"/>
      <c r="H83" s="276"/>
      <c r="I83" s="84"/>
      <c r="J83" s="102"/>
      <c r="K83" s="102"/>
      <c r="L83" s="102"/>
      <c r="M83" s="102"/>
      <c r="N83" s="84"/>
      <c r="O83" s="84"/>
      <c r="P83" s="84"/>
      <c r="Q83" s="193"/>
      <c r="R83" s="85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47"/>
      <c r="AH83" s="85"/>
      <c r="AI83" s="51"/>
      <c r="AJ83" s="218">
        <f t="shared" si="19"/>
        <v>0</v>
      </c>
    </row>
    <row r="84" spans="1:36" s="36" customFormat="1" ht="15.75" x14ac:dyDescent="0.25">
      <c r="A84" s="113" t="s">
        <v>224</v>
      </c>
      <c r="B84" s="35" t="s">
        <v>680</v>
      </c>
      <c r="C84" s="52" t="s">
        <v>664</v>
      </c>
      <c r="D84" s="52" t="s">
        <v>665</v>
      </c>
      <c r="E84" s="35" t="s">
        <v>689</v>
      </c>
      <c r="F84" s="52" t="s">
        <v>46</v>
      </c>
      <c r="G84" s="330">
        <v>44365</v>
      </c>
      <c r="H84" s="347">
        <v>44438</v>
      </c>
      <c r="I84" s="50">
        <f>H84-G84</f>
        <v>73</v>
      </c>
      <c r="J84" s="52" t="s">
        <v>320</v>
      </c>
      <c r="K84" s="52">
        <v>44447</v>
      </c>
      <c r="L84" s="52">
        <v>44687.8</v>
      </c>
      <c r="M84" s="52"/>
      <c r="N84" s="88">
        <f>((L84-K84)/7)/4.3</f>
        <v>8.0000000000000977</v>
      </c>
      <c r="O84" s="88"/>
      <c r="P84" s="88"/>
      <c r="Q84" s="53">
        <v>2015533</v>
      </c>
      <c r="R84" s="115">
        <v>0</v>
      </c>
      <c r="S84" s="115">
        <v>0</v>
      </c>
      <c r="T84" s="115">
        <v>0</v>
      </c>
      <c r="U84" s="115">
        <v>0</v>
      </c>
      <c r="V84" s="115">
        <v>0</v>
      </c>
      <c r="W84" s="115">
        <v>0</v>
      </c>
      <c r="X84" s="115">
        <v>0</v>
      </c>
      <c r="Y84" s="115">
        <v>0</v>
      </c>
      <c r="Z84" s="115">
        <v>141412</v>
      </c>
      <c r="AA84" s="275">
        <v>100000</v>
      </c>
      <c r="AB84" s="275">
        <v>300000</v>
      </c>
      <c r="AC84" s="275">
        <v>400000</v>
      </c>
      <c r="AD84" s="275">
        <v>500000</v>
      </c>
      <c r="AE84" s="275">
        <v>715533</v>
      </c>
      <c r="AF84" s="53"/>
      <c r="AG84" s="47"/>
      <c r="AH84" s="53">
        <f>SUM(R84:AG84)</f>
        <v>2156945</v>
      </c>
      <c r="AI84" s="51"/>
      <c r="AJ84" s="218">
        <f t="shared" si="19"/>
        <v>141412</v>
      </c>
    </row>
    <row r="85" spans="1:36" s="36" customFormat="1" ht="15.75" x14ac:dyDescent="0.25">
      <c r="A85" s="93"/>
      <c r="B85" s="94"/>
      <c r="C85" s="91"/>
      <c r="D85" s="91"/>
      <c r="E85" s="94"/>
      <c r="F85" s="91"/>
      <c r="G85" s="91"/>
      <c r="H85" s="91"/>
      <c r="I85" s="92"/>
      <c r="J85" s="91"/>
      <c r="K85" s="91"/>
      <c r="L85" s="91"/>
      <c r="M85" s="91"/>
      <c r="N85" s="92"/>
      <c r="O85" s="92"/>
      <c r="P85" s="92"/>
      <c r="Q85" s="59">
        <f>SUM(Q84)</f>
        <v>2015533</v>
      </c>
      <c r="R85" s="59">
        <f t="shared" ref="R85:AF85" si="21">SUM(R84)</f>
        <v>0</v>
      </c>
      <c r="S85" s="59">
        <f t="shared" si="21"/>
        <v>0</v>
      </c>
      <c r="T85" s="59">
        <f t="shared" si="21"/>
        <v>0</v>
      </c>
      <c r="U85" s="59">
        <f t="shared" si="21"/>
        <v>0</v>
      </c>
      <c r="V85" s="59">
        <f t="shared" si="21"/>
        <v>0</v>
      </c>
      <c r="W85" s="59">
        <f t="shared" si="21"/>
        <v>0</v>
      </c>
      <c r="X85" s="59">
        <f t="shared" si="21"/>
        <v>0</v>
      </c>
      <c r="Y85" s="59">
        <f t="shared" si="21"/>
        <v>0</v>
      </c>
      <c r="Z85" s="59">
        <f t="shared" si="21"/>
        <v>141412</v>
      </c>
      <c r="AA85" s="59">
        <f t="shared" si="21"/>
        <v>100000</v>
      </c>
      <c r="AB85" s="59">
        <f t="shared" si="21"/>
        <v>300000</v>
      </c>
      <c r="AC85" s="59">
        <f t="shared" si="21"/>
        <v>400000</v>
      </c>
      <c r="AD85" s="59">
        <f t="shared" si="21"/>
        <v>500000</v>
      </c>
      <c r="AE85" s="59">
        <f t="shared" si="21"/>
        <v>715533</v>
      </c>
      <c r="AF85" s="59">
        <f t="shared" si="21"/>
        <v>0</v>
      </c>
      <c r="AG85" s="47"/>
      <c r="AH85" s="53">
        <f>SUM(R85:AG85)</f>
        <v>2156945</v>
      </c>
      <c r="AI85" s="51"/>
      <c r="AJ85" s="218">
        <f t="shared" si="19"/>
        <v>141412</v>
      </c>
    </row>
    <row r="86" spans="1:36" s="36" customFormat="1" ht="15.75" x14ac:dyDescent="0.25">
      <c r="A86" s="106" t="s">
        <v>623</v>
      </c>
      <c r="B86" s="107"/>
      <c r="C86" s="101"/>
      <c r="D86" s="102"/>
      <c r="E86" s="107"/>
      <c r="F86" s="102"/>
      <c r="G86" s="276"/>
      <c r="H86" s="276"/>
      <c r="I86" s="84"/>
      <c r="J86" s="102"/>
      <c r="K86" s="102"/>
      <c r="L86" s="102"/>
      <c r="M86" s="102"/>
      <c r="N86" s="84"/>
      <c r="O86" s="84"/>
      <c r="P86" s="84"/>
      <c r="Q86" s="193"/>
      <c r="R86" s="85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47"/>
      <c r="AH86" s="85"/>
      <c r="AI86" s="51"/>
      <c r="AJ86" s="218">
        <f t="shared" si="19"/>
        <v>0</v>
      </c>
    </row>
    <row r="87" spans="1:36" s="36" customFormat="1" ht="15.75" x14ac:dyDescent="0.25">
      <c r="A87" s="336" t="s">
        <v>82</v>
      </c>
      <c r="B87" s="337" t="s">
        <v>532</v>
      </c>
      <c r="C87" s="321" t="s">
        <v>380</v>
      </c>
      <c r="D87" s="321" t="s">
        <v>575</v>
      </c>
      <c r="E87" s="337" t="s">
        <v>451</v>
      </c>
      <c r="F87" s="321" t="s">
        <v>46</v>
      </c>
      <c r="G87" s="332">
        <v>44107</v>
      </c>
      <c r="H87" s="332">
        <v>44279</v>
      </c>
      <c r="I87" s="322">
        <f t="shared" ref="I87:I104" si="22">H87-G87</f>
        <v>172</v>
      </c>
      <c r="J87" s="321" t="s">
        <v>370</v>
      </c>
      <c r="K87" s="339">
        <v>44389</v>
      </c>
      <c r="L87" s="321">
        <v>44569.599999999999</v>
      </c>
      <c r="M87" s="321"/>
      <c r="N87" s="322">
        <f t="shared" ref="N87:N104" si="23">((L87-K87)/7)/4.3</f>
        <v>5.999999999999952</v>
      </c>
      <c r="O87" s="322"/>
      <c r="P87" s="322"/>
      <c r="Q87" s="323">
        <v>446790</v>
      </c>
      <c r="R87" s="115">
        <v>0</v>
      </c>
      <c r="S87" s="115">
        <v>0</v>
      </c>
      <c r="T87" s="115">
        <v>0</v>
      </c>
      <c r="U87" s="115">
        <v>0</v>
      </c>
      <c r="V87" s="115">
        <v>0</v>
      </c>
      <c r="W87" s="115">
        <v>33274</v>
      </c>
      <c r="X87" s="115">
        <v>0</v>
      </c>
      <c r="Y87" s="115">
        <v>0</v>
      </c>
      <c r="Z87" s="115">
        <v>0</v>
      </c>
      <c r="AA87" s="275">
        <v>50000</v>
      </c>
      <c r="AB87" s="275">
        <v>50000</v>
      </c>
      <c r="AC87" s="275">
        <v>75000</v>
      </c>
      <c r="AD87" s="275">
        <v>100000</v>
      </c>
      <c r="AE87" s="275">
        <v>138516</v>
      </c>
      <c r="AF87" s="53"/>
      <c r="AG87" s="47"/>
      <c r="AH87" s="53">
        <f t="shared" ref="AH87:AH104" si="24">SUM(R87:AG87)</f>
        <v>446790</v>
      </c>
      <c r="AI87" s="51"/>
      <c r="AJ87" s="218">
        <f t="shared" si="19"/>
        <v>0</v>
      </c>
    </row>
    <row r="88" spans="1:36" s="36" customFormat="1" ht="15.75" x14ac:dyDescent="0.25">
      <c r="A88" s="113" t="s">
        <v>541</v>
      </c>
      <c r="B88" s="114" t="s">
        <v>542</v>
      </c>
      <c r="C88" s="52" t="s">
        <v>368</v>
      </c>
      <c r="D88" s="52" t="s">
        <v>402</v>
      </c>
      <c r="E88" s="114" t="s">
        <v>643</v>
      </c>
      <c r="F88" s="52" t="s">
        <v>623</v>
      </c>
      <c r="G88" s="52">
        <v>44501</v>
      </c>
      <c r="H88" s="52">
        <v>44531</v>
      </c>
      <c r="I88" s="50">
        <f t="shared" si="22"/>
        <v>30</v>
      </c>
      <c r="J88" s="52" t="s">
        <v>320</v>
      </c>
      <c r="K88" s="52"/>
      <c r="L88" s="52"/>
      <c r="M88" s="52"/>
      <c r="N88" s="50">
        <f t="shared" si="23"/>
        <v>0</v>
      </c>
      <c r="O88" s="50"/>
      <c r="P88" s="50"/>
      <c r="Q88" s="53">
        <v>1900000</v>
      </c>
      <c r="R88" s="115">
        <v>0</v>
      </c>
      <c r="S88" s="115">
        <v>0</v>
      </c>
      <c r="T88" s="115">
        <v>0</v>
      </c>
      <c r="U88" s="115">
        <v>0</v>
      </c>
      <c r="V88" s="115">
        <v>0</v>
      </c>
      <c r="W88" s="115">
        <v>0</v>
      </c>
      <c r="X88" s="115">
        <v>0</v>
      </c>
      <c r="Y88" s="115">
        <v>0</v>
      </c>
      <c r="Z88" s="115">
        <v>0</v>
      </c>
      <c r="AA88" s="58"/>
      <c r="AB88" s="58"/>
      <c r="AC88" s="58"/>
      <c r="AD88" s="275">
        <v>200000</v>
      </c>
      <c r="AE88" s="275">
        <v>1700000</v>
      </c>
      <c r="AF88" s="53"/>
      <c r="AG88" s="47"/>
      <c r="AH88" s="53">
        <f t="shared" si="24"/>
        <v>1900000</v>
      </c>
      <c r="AI88" s="51"/>
      <c r="AJ88" s="218">
        <f t="shared" si="19"/>
        <v>0</v>
      </c>
    </row>
    <row r="89" spans="1:36" s="36" customFormat="1" ht="15.75" x14ac:dyDescent="0.25">
      <c r="A89" s="113" t="s">
        <v>191</v>
      </c>
      <c r="B89" s="114" t="s">
        <v>192</v>
      </c>
      <c r="C89" s="52" t="s">
        <v>45</v>
      </c>
      <c r="D89" s="52" t="s">
        <v>45</v>
      </c>
      <c r="E89" s="114" t="s">
        <v>193</v>
      </c>
      <c r="F89" s="52" t="s">
        <v>623</v>
      </c>
      <c r="G89" s="299">
        <v>44403</v>
      </c>
      <c r="H89" s="347">
        <v>44436</v>
      </c>
      <c r="I89" s="50">
        <f t="shared" si="22"/>
        <v>33</v>
      </c>
      <c r="J89" s="52" t="s">
        <v>320</v>
      </c>
      <c r="K89" s="52">
        <v>44470</v>
      </c>
      <c r="L89" s="52">
        <v>44831</v>
      </c>
      <c r="M89" s="52"/>
      <c r="N89" s="50">
        <f t="shared" si="23"/>
        <v>11.993355481727574</v>
      </c>
      <c r="O89" s="50"/>
      <c r="P89" s="50"/>
      <c r="Q89" s="53">
        <v>4000000</v>
      </c>
      <c r="R89" s="115">
        <v>0</v>
      </c>
      <c r="S89" s="115">
        <v>0</v>
      </c>
      <c r="T89" s="115">
        <v>0</v>
      </c>
      <c r="U89" s="115">
        <v>0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58"/>
      <c r="AB89" s="58"/>
      <c r="AC89" s="58"/>
      <c r="AD89" s="275">
        <v>400000</v>
      </c>
      <c r="AE89" s="275">
        <v>3600000</v>
      </c>
      <c r="AF89" s="53"/>
      <c r="AG89" s="47"/>
      <c r="AH89" s="53">
        <f t="shared" si="24"/>
        <v>4000000</v>
      </c>
      <c r="AI89" s="51"/>
      <c r="AJ89" s="218">
        <f t="shared" si="19"/>
        <v>0</v>
      </c>
    </row>
    <row r="90" spans="1:36" s="36" customFormat="1" ht="15.75" x14ac:dyDescent="0.25">
      <c r="A90" s="113" t="s">
        <v>194</v>
      </c>
      <c r="B90" s="35" t="s">
        <v>609</v>
      </c>
      <c r="C90" s="52" t="s">
        <v>45</v>
      </c>
      <c r="D90" s="52" t="s">
        <v>45</v>
      </c>
      <c r="E90" s="35" t="s">
        <v>196</v>
      </c>
      <c r="F90" s="52" t="s">
        <v>623</v>
      </c>
      <c r="G90" s="299">
        <v>44423</v>
      </c>
      <c r="H90" s="52">
        <v>44486</v>
      </c>
      <c r="I90" s="50">
        <f t="shared" si="22"/>
        <v>63</v>
      </c>
      <c r="J90" s="52" t="s">
        <v>320</v>
      </c>
      <c r="K90" s="52">
        <v>44516</v>
      </c>
      <c r="L90" s="52">
        <v>44817</v>
      </c>
      <c r="M90" s="52"/>
      <c r="N90" s="50">
        <f t="shared" si="23"/>
        <v>10</v>
      </c>
      <c r="O90" s="50"/>
      <c r="P90" s="50"/>
      <c r="Q90" s="53">
        <v>3000000</v>
      </c>
      <c r="R90" s="115">
        <v>0</v>
      </c>
      <c r="S90" s="115">
        <v>0</v>
      </c>
      <c r="T90" s="115">
        <v>0</v>
      </c>
      <c r="U90" s="115">
        <v>0</v>
      </c>
      <c r="V90" s="115">
        <v>0</v>
      </c>
      <c r="W90" s="115">
        <v>0</v>
      </c>
      <c r="X90" s="115">
        <v>0</v>
      </c>
      <c r="Y90" s="115">
        <v>0</v>
      </c>
      <c r="Z90" s="115">
        <v>0</v>
      </c>
      <c r="AA90" s="53"/>
      <c r="AB90" s="53"/>
      <c r="AC90" s="53"/>
      <c r="AD90" s="53"/>
      <c r="AE90" s="275">
        <v>3000000</v>
      </c>
      <c r="AF90" s="53"/>
      <c r="AG90" s="47"/>
      <c r="AH90" s="53">
        <f t="shared" si="24"/>
        <v>3000000</v>
      </c>
      <c r="AI90" s="51"/>
      <c r="AJ90" s="218">
        <f t="shared" si="19"/>
        <v>0</v>
      </c>
    </row>
    <row r="91" spans="1:36" s="36" customFormat="1" ht="15.75" x14ac:dyDescent="0.25">
      <c r="A91" s="113" t="s">
        <v>647</v>
      </c>
      <c r="B91" s="114" t="s">
        <v>604</v>
      </c>
      <c r="C91" s="52" t="s">
        <v>568</v>
      </c>
      <c r="D91" s="52" t="s">
        <v>630</v>
      </c>
      <c r="E91" s="114" t="s">
        <v>684</v>
      </c>
      <c r="F91" s="52" t="s">
        <v>623</v>
      </c>
      <c r="G91" s="52">
        <v>44562</v>
      </c>
      <c r="H91" s="52">
        <v>44592</v>
      </c>
      <c r="I91" s="50">
        <f t="shared" si="22"/>
        <v>30</v>
      </c>
      <c r="J91" s="52" t="s">
        <v>320</v>
      </c>
      <c r="K91" s="52"/>
      <c r="L91" s="52"/>
      <c r="M91" s="52"/>
      <c r="N91" s="50">
        <f t="shared" si="23"/>
        <v>0</v>
      </c>
      <c r="O91" s="50"/>
      <c r="P91" s="50"/>
      <c r="Q91" s="189">
        <v>980000</v>
      </c>
      <c r="R91" s="115">
        <v>0</v>
      </c>
      <c r="S91" s="115">
        <v>0</v>
      </c>
      <c r="T91" s="115">
        <v>0</v>
      </c>
      <c r="U91" s="115">
        <v>0</v>
      </c>
      <c r="V91" s="115">
        <v>0</v>
      </c>
      <c r="W91" s="115">
        <v>0</v>
      </c>
      <c r="X91" s="115">
        <v>0</v>
      </c>
      <c r="Y91" s="115">
        <v>0</v>
      </c>
      <c r="Z91" s="115">
        <v>0</v>
      </c>
      <c r="AA91" s="53"/>
      <c r="AB91" s="53"/>
      <c r="AC91" s="53"/>
      <c r="AD91" s="53"/>
      <c r="AE91" s="275">
        <v>980000</v>
      </c>
      <c r="AF91" s="53"/>
      <c r="AG91" s="47"/>
      <c r="AH91" s="53">
        <f t="shared" si="24"/>
        <v>980000</v>
      </c>
      <c r="AI91" s="51"/>
      <c r="AJ91" s="218">
        <f t="shared" si="19"/>
        <v>0</v>
      </c>
    </row>
    <row r="92" spans="1:36" s="36" customFormat="1" ht="15.75" x14ac:dyDescent="0.25">
      <c r="A92" s="113" t="s">
        <v>648</v>
      </c>
      <c r="B92" s="114" t="s">
        <v>605</v>
      </c>
      <c r="C92" s="52" t="s">
        <v>568</v>
      </c>
      <c r="D92" s="52" t="s">
        <v>630</v>
      </c>
      <c r="E92" s="114" t="s">
        <v>684</v>
      </c>
      <c r="F92" s="52" t="s">
        <v>623</v>
      </c>
      <c r="G92" s="52">
        <v>44562</v>
      </c>
      <c r="H92" s="52">
        <v>44592</v>
      </c>
      <c r="I92" s="50">
        <f t="shared" si="22"/>
        <v>30</v>
      </c>
      <c r="J92" s="52" t="s">
        <v>320</v>
      </c>
      <c r="K92" s="52"/>
      <c r="L92" s="52"/>
      <c r="M92" s="52"/>
      <c r="N92" s="50">
        <f t="shared" si="23"/>
        <v>0</v>
      </c>
      <c r="O92" s="50"/>
      <c r="P92" s="50"/>
      <c r="Q92" s="189">
        <v>1558000</v>
      </c>
      <c r="R92" s="115">
        <v>0</v>
      </c>
      <c r="S92" s="115">
        <v>0</v>
      </c>
      <c r="T92" s="115">
        <v>0</v>
      </c>
      <c r="U92" s="115">
        <v>0</v>
      </c>
      <c r="V92" s="115">
        <v>0</v>
      </c>
      <c r="W92" s="115">
        <v>0</v>
      </c>
      <c r="X92" s="115">
        <v>0</v>
      </c>
      <c r="Y92" s="115">
        <v>0</v>
      </c>
      <c r="Z92" s="115">
        <v>0</v>
      </c>
      <c r="AA92" s="53"/>
      <c r="AB92" s="53"/>
      <c r="AC92" s="53"/>
      <c r="AD92" s="53"/>
      <c r="AE92" s="275">
        <v>1558000</v>
      </c>
      <c r="AF92" s="53"/>
      <c r="AG92" s="47"/>
      <c r="AH92" s="53">
        <f t="shared" si="24"/>
        <v>1558000</v>
      </c>
      <c r="AI92" s="51"/>
      <c r="AJ92" s="218">
        <f t="shared" si="19"/>
        <v>0</v>
      </c>
    </row>
    <row r="93" spans="1:36" s="36" customFormat="1" ht="15.75" x14ac:dyDescent="0.25">
      <c r="A93" s="113" t="s">
        <v>649</v>
      </c>
      <c r="B93" s="114" t="s">
        <v>606</v>
      </c>
      <c r="C93" s="52" t="s">
        <v>568</v>
      </c>
      <c r="D93" s="52" t="s">
        <v>630</v>
      </c>
      <c r="E93" s="114" t="s">
        <v>684</v>
      </c>
      <c r="F93" s="52" t="s">
        <v>623</v>
      </c>
      <c r="G93" s="52">
        <v>44562</v>
      </c>
      <c r="H93" s="52">
        <v>44592</v>
      </c>
      <c r="I93" s="50">
        <f t="shared" si="22"/>
        <v>30</v>
      </c>
      <c r="J93" s="52" t="s">
        <v>320</v>
      </c>
      <c r="K93" s="52"/>
      <c r="L93" s="52"/>
      <c r="M93" s="52"/>
      <c r="N93" s="50">
        <f t="shared" si="23"/>
        <v>0</v>
      </c>
      <c r="O93" s="50"/>
      <c r="P93" s="50"/>
      <c r="Q93" s="189">
        <v>540000</v>
      </c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15">
        <v>0</v>
      </c>
      <c r="Y93" s="115">
        <v>0</v>
      </c>
      <c r="Z93" s="115">
        <v>0</v>
      </c>
      <c r="AA93" s="53"/>
      <c r="AB93" s="53"/>
      <c r="AC93" s="53"/>
      <c r="AD93" s="53"/>
      <c r="AE93" s="275">
        <v>540000</v>
      </c>
      <c r="AF93" s="53"/>
      <c r="AG93" s="47"/>
      <c r="AH93" s="53">
        <f t="shared" si="24"/>
        <v>540000</v>
      </c>
      <c r="AI93" s="51"/>
      <c r="AJ93" s="218">
        <f t="shared" si="19"/>
        <v>0</v>
      </c>
    </row>
    <row r="94" spans="1:36" s="36" customFormat="1" ht="15.75" x14ac:dyDescent="0.25">
      <c r="A94" s="113" t="s">
        <v>650</v>
      </c>
      <c r="B94" s="114" t="s">
        <v>607</v>
      </c>
      <c r="C94" s="52" t="s">
        <v>568</v>
      </c>
      <c r="D94" s="52" t="s">
        <v>630</v>
      </c>
      <c r="E94" s="114" t="s">
        <v>684</v>
      </c>
      <c r="F94" s="52" t="s">
        <v>623</v>
      </c>
      <c r="G94" s="52">
        <v>44562</v>
      </c>
      <c r="H94" s="52">
        <v>44592</v>
      </c>
      <c r="I94" s="50">
        <f t="shared" si="22"/>
        <v>30</v>
      </c>
      <c r="J94" s="52" t="s">
        <v>320</v>
      </c>
      <c r="K94" s="52"/>
      <c r="L94" s="52"/>
      <c r="M94" s="52"/>
      <c r="N94" s="50">
        <f t="shared" si="23"/>
        <v>0</v>
      </c>
      <c r="O94" s="50"/>
      <c r="P94" s="50"/>
      <c r="Q94" s="189">
        <v>800000</v>
      </c>
      <c r="R94" s="115">
        <v>0</v>
      </c>
      <c r="S94" s="115">
        <v>0</v>
      </c>
      <c r="T94" s="115">
        <v>0</v>
      </c>
      <c r="U94" s="115">
        <v>0</v>
      </c>
      <c r="V94" s="115">
        <v>0</v>
      </c>
      <c r="W94" s="115">
        <v>0</v>
      </c>
      <c r="X94" s="115">
        <v>0</v>
      </c>
      <c r="Y94" s="115">
        <v>0</v>
      </c>
      <c r="Z94" s="115">
        <v>0</v>
      </c>
      <c r="AA94" s="53"/>
      <c r="AB94" s="53"/>
      <c r="AC94" s="53"/>
      <c r="AD94" s="53"/>
      <c r="AE94" s="275">
        <v>800000</v>
      </c>
      <c r="AF94" s="53"/>
      <c r="AG94" s="47"/>
      <c r="AH94" s="53">
        <f t="shared" si="24"/>
        <v>800000</v>
      </c>
      <c r="AI94" s="51"/>
      <c r="AJ94" s="218">
        <f t="shared" si="19"/>
        <v>0</v>
      </c>
    </row>
    <row r="95" spans="1:36" s="36" customFormat="1" ht="15.75" x14ac:dyDescent="0.25">
      <c r="A95" s="113" t="s">
        <v>651</v>
      </c>
      <c r="B95" s="114" t="s">
        <v>608</v>
      </c>
      <c r="C95" s="52" t="s">
        <v>568</v>
      </c>
      <c r="D95" s="52" t="s">
        <v>630</v>
      </c>
      <c r="E95" s="114" t="s">
        <v>684</v>
      </c>
      <c r="F95" s="52" t="s">
        <v>623</v>
      </c>
      <c r="G95" s="52">
        <v>44562</v>
      </c>
      <c r="H95" s="52">
        <v>44592</v>
      </c>
      <c r="I95" s="50">
        <f t="shared" si="22"/>
        <v>30</v>
      </c>
      <c r="J95" s="52" t="s">
        <v>320</v>
      </c>
      <c r="K95" s="52"/>
      <c r="L95" s="52"/>
      <c r="M95" s="52"/>
      <c r="N95" s="50">
        <f t="shared" si="23"/>
        <v>0</v>
      </c>
      <c r="O95" s="50"/>
      <c r="P95" s="50"/>
      <c r="Q95" s="189">
        <v>690000</v>
      </c>
      <c r="R95" s="115">
        <v>0</v>
      </c>
      <c r="S95" s="115">
        <v>0</v>
      </c>
      <c r="T95" s="115">
        <v>0</v>
      </c>
      <c r="U95" s="115">
        <v>0</v>
      </c>
      <c r="V95" s="115">
        <v>0</v>
      </c>
      <c r="W95" s="115">
        <v>0</v>
      </c>
      <c r="X95" s="115">
        <v>0</v>
      </c>
      <c r="Y95" s="115">
        <v>0</v>
      </c>
      <c r="Z95" s="115">
        <v>0</v>
      </c>
      <c r="AA95" s="53"/>
      <c r="AB95" s="53"/>
      <c r="AC95" s="53"/>
      <c r="AD95" s="53"/>
      <c r="AE95" s="275">
        <v>690000</v>
      </c>
      <c r="AF95" s="53"/>
      <c r="AG95" s="47"/>
      <c r="AH95" s="53">
        <f t="shared" si="24"/>
        <v>690000</v>
      </c>
      <c r="AI95" s="51"/>
      <c r="AJ95" s="218">
        <f t="shared" si="19"/>
        <v>0</v>
      </c>
    </row>
    <row r="96" spans="1:36" s="36" customFormat="1" ht="15.75" x14ac:dyDescent="0.25">
      <c r="A96" s="113" t="s">
        <v>206</v>
      </c>
      <c r="B96" s="35" t="s">
        <v>207</v>
      </c>
      <c r="C96" s="52" t="s">
        <v>45</v>
      </c>
      <c r="D96" s="52" t="s">
        <v>45</v>
      </c>
      <c r="E96" s="35"/>
      <c r="F96" s="52" t="s">
        <v>623</v>
      </c>
      <c r="G96" s="299">
        <v>44358</v>
      </c>
      <c r="H96" s="347">
        <v>44412</v>
      </c>
      <c r="I96" s="50">
        <f t="shared" si="22"/>
        <v>54</v>
      </c>
      <c r="J96" s="52" t="s">
        <v>320</v>
      </c>
      <c r="K96" s="52"/>
      <c r="L96" s="52"/>
      <c r="M96" s="52"/>
      <c r="N96" s="50">
        <f t="shared" si="23"/>
        <v>0</v>
      </c>
      <c r="O96" s="50"/>
      <c r="P96" s="50"/>
      <c r="Q96" s="53">
        <v>3000000</v>
      </c>
      <c r="R96" s="115">
        <v>0</v>
      </c>
      <c r="S96" s="115">
        <v>0</v>
      </c>
      <c r="T96" s="115">
        <v>0</v>
      </c>
      <c r="U96" s="115">
        <v>0</v>
      </c>
      <c r="V96" s="115">
        <v>0</v>
      </c>
      <c r="W96" s="115">
        <v>0</v>
      </c>
      <c r="X96" s="115">
        <v>0</v>
      </c>
      <c r="Y96" s="115">
        <v>0</v>
      </c>
      <c r="Z96" s="115">
        <v>0</v>
      </c>
      <c r="AA96" s="53"/>
      <c r="AB96" s="53"/>
      <c r="AC96" s="53"/>
      <c r="AD96" s="53"/>
      <c r="AE96" s="275">
        <v>3000000</v>
      </c>
      <c r="AF96" s="53"/>
      <c r="AG96" s="47"/>
      <c r="AH96" s="53">
        <f t="shared" si="24"/>
        <v>3000000</v>
      </c>
      <c r="AI96" s="51"/>
      <c r="AJ96" s="218">
        <f t="shared" si="19"/>
        <v>0</v>
      </c>
    </row>
    <row r="97" spans="1:36" s="36" customFormat="1" ht="15.75" x14ac:dyDescent="0.25">
      <c r="A97" s="113" t="s">
        <v>208</v>
      </c>
      <c r="B97" s="35" t="s">
        <v>480</v>
      </c>
      <c r="C97" s="52" t="s">
        <v>45</v>
      </c>
      <c r="D97" s="52" t="s">
        <v>45</v>
      </c>
      <c r="E97" s="35" t="s">
        <v>694</v>
      </c>
      <c r="F97" s="52" t="s">
        <v>623</v>
      </c>
      <c r="G97" s="299">
        <v>44375</v>
      </c>
      <c r="H97" s="347">
        <v>44469</v>
      </c>
      <c r="I97" s="50">
        <f t="shared" si="22"/>
        <v>94</v>
      </c>
      <c r="J97" s="52" t="s">
        <v>320</v>
      </c>
      <c r="K97" s="52"/>
      <c r="L97" s="52"/>
      <c r="M97" s="52"/>
      <c r="N97" s="50">
        <f t="shared" si="23"/>
        <v>0</v>
      </c>
      <c r="O97" s="50"/>
      <c r="P97" s="50"/>
      <c r="Q97" s="53">
        <v>2000000</v>
      </c>
      <c r="R97" s="115">
        <v>0</v>
      </c>
      <c r="S97" s="115">
        <v>0</v>
      </c>
      <c r="T97" s="115">
        <v>0</v>
      </c>
      <c r="U97" s="115">
        <v>0</v>
      </c>
      <c r="V97" s="115">
        <v>0</v>
      </c>
      <c r="W97" s="115">
        <v>0</v>
      </c>
      <c r="X97" s="115">
        <v>0</v>
      </c>
      <c r="Y97" s="115">
        <v>0</v>
      </c>
      <c r="Z97" s="115">
        <v>0</v>
      </c>
      <c r="AA97" s="53"/>
      <c r="AB97" s="53"/>
      <c r="AC97" s="275">
        <v>150000</v>
      </c>
      <c r="AD97" s="275">
        <v>250000</v>
      </c>
      <c r="AE97" s="275">
        <v>1600000</v>
      </c>
      <c r="AF97" s="53"/>
      <c r="AG97" s="47"/>
      <c r="AH97" s="53">
        <f t="shared" si="24"/>
        <v>2000000</v>
      </c>
      <c r="AI97" s="51"/>
      <c r="AJ97" s="218">
        <f t="shared" si="19"/>
        <v>0</v>
      </c>
    </row>
    <row r="98" spans="1:36" s="36" customFormat="1" ht="15.75" x14ac:dyDescent="0.25">
      <c r="A98" s="113" t="s">
        <v>593</v>
      </c>
      <c r="B98" s="35" t="s">
        <v>596</v>
      </c>
      <c r="C98" s="52" t="s">
        <v>568</v>
      </c>
      <c r="D98" s="52" t="s">
        <v>401</v>
      </c>
      <c r="E98" s="113" t="s">
        <v>695</v>
      </c>
      <c r="F98" s="52" t="s">
        <v>623</v>
      </c>
      <c r="G98" s="52">
        <v>44489</v>
      </c>
      <c r="H98" s="52">
        <v>44501</v>
      </c>
      <c r="I98" s="50">
        <f t="shared" si="22"/>
        <v>12</v>
      </c>
      <c r="J98" s="52" t="s">
        <v>320</v>
      </c>
      <c r="K98" s="52"/>
      <c r="L98" s="52"/>
      <c r="M98" s="52"/>
      <c r="N98" s="50">
        <f t="shared" si="23"/>
        <v>0</v>
      </c>
      <c r="O98" s="50"/>
      <c r="P98" s="50"/>
      <c r="Q98" s="53">
        <v>1325000</v>
      </c>
      <c r="R98" s="115">
        <v>0</v>
      </c>
      <c r="S98" s="115">
        <v>0</v>
      </c>
      <c r="T98" s="115">
        <v>0</v>
      </c>
      <c r="U98" s="115">
        <v>0</v>
      </c>
      <c r="V98" s="115">
        <v>0</v>
      </c>
      <c r="W98" s="115">
        <v>0</v>
      </c>
      <c r="X98" s="115">
        <v>0</v>
      </c>
      <c r="Y98" s="115">
        <v>0</v>
      </c>
      <c r="Z98" s="115">
        <v>0</v>
      </c>
      <c r="AA98" s="53"/>
      <c r="AB98" s="53"/>
      <c r="AC98" s="53"/>
      <c r="AD98" s="275">
        <v>100000</v>
      </c>
      <c r="AE98" s="275">
        <v>1225000</v>
      </c>
      <c r="AF98" s="53"/>
      <c r="AG98" s="47"/>
      <c r="AH98" s="53">
        <f t="shared" si="24"/>
        <v>1325000</v>
      </c>
      <c r="AI98" s="51"/>
      <c r="AJ98" s="218">
        <f t="shared" si="19"/>
        <v>0</v>
      </c>
    </row>
    <row r="99" spans="1:36" s="36" customFormat="1" ht="15.75" x14ac:dyDescent="0.25">
      <c r="A99" s="113" t="s">
        <v>594</v>
      </c>
      <c r="B99" s="186" t="s">
        <v>595</v>
      </c>
      <c r="C99" s="52" t="s">
        <v>373</v>
      </c>
      <c r="D99" s="52" t="s">
        <v>45</v>
      </c>
      <c r="E99" s="35"/>
      <c r="F99" s="52" t="s">
        <v>623</v>
      </c>
      <c r="G99" s="52"/>
      <c r="H99" s="52"/>
      <c r="I99" s="50">
        <f t="shared" si="22"/>
        <v>0</v>
      </c>
      <c r="J99" s="52" t="s">
        <v>320</v>
      </c>
      <c r="K99" s="52"/>
      <c r="L99" s="52"/>
      <c r="M99" s="52"/>
      <c r="N99" s="50">
        <f t="shared" si="23"/>
        <v>0</v>
      </c>
      <c r="O99" s="50"/>
      <c r="P99" s="50"/>
      <c r="Q99" s="53">
        <v>82107</v>
      </c>
      <c r="R99" s="115">
        <v>0</v>
      </c>
      <c r="S99" s="115">
        <v>0</v>
      </c>
      <c r="T99" s="115">
        <v>0</v>
      </c>
      <c r="U99" s="115">
        <v>0</v>
      </c>
      <c r="V99" s="115">
        <v>0</v>
      </c>
      <c r="W99" s="115">
        <v>0</v>
      </c>
      <c r="X99" s="115">
        <v>0</v>
      </c>
      <c r="Y99" s="115">
        <v>0</v>
      </c>
      <c r="Z99" s="115">
        <v>0</v>
      </c>
      <c r="AA99" s="275">
        <v>25000</v>
      </c>
      <c r="AB99" s="275">
        <v>30000</v>
      </c>
      <c r="AC99" s="275">
        <v>27107</v>
      </c>
      <c r="AD99" s="53"/>
      <c r="AE99" s="53"/>
      <c r="AF99" s="53"/>
      <c r="AG99" s="47"/>
      <c r="AH99" s="53">
        <f t="shared" si="24"/>
        <v>82107</v>
      </c>
      <c r="AI99" s="51"/>
      <c r="AJ99" s="218">
        <f t="shared" si="19"/>
        <v>0</v>
      </c>
    </row>
    <row r="100" spans="1:36" s="36" customFormat="1" ht="15.75" x14ac:dyDescent="0.25">
      <c r="A100" s="113" t="s">
        <v>591</v>
      </c>
      <c r="B100" s="35" t="s">
        <v>592</v>
      </c>
      <c r="C100" s="52" t="s">
        <v>45</v>
      </c>
      <c r="D100" s="52" t="s">
        <v>45</v>
      </c>
      <c r="E100" s="35" t="s">
        <v>698</v>
      </c>
      <c r="F100" s="52" t="s">
        <v>623</v>
      </c>
      <c r="G100" s="52">
        <v>44531</v>
      </c>
      <c r="H100" s="52">
        <v>44576</v>
      </c>
      <c r="I100" s="50">
        <f t="shared" si="22"/>
        <v>45</v>
      </c>
      <c r="J100" s="52" t="s">
        <v>320</v>
      </c>
      <c r="K100" s="52"/>
      <c r="L100" s="52"/>
      <c r="M100" s="52"/>
      <c r="N100" s="50">
        <f t="shared" si="23"/>
        <v>0</v>
      </c>
      <c r="O100" s="50"/>
      <c r="P100" s="50"/>
      <c r="Q100" s="53">
        <v>400000</v>
      </c>
      <c r="R100" s="115">
        <v>0</v>
      </c>
      <c r="S100" s="115">
        <v>0</v>
      </c>
      <c r="T100" s="115">
        <v>0</v>
      </c>
      <c r="U100" s="115">
        <v>0</v>
      </c>
      <c r="V100" s="115">
        <v>0</v>
      </c>
      <c r="W100" s="115">
        <v>0</v>
      </c>
      <c r="X100" s="115">
        <v>0</v>
      </c>
      <c r="Y100" s="115">
        <v>0</v>
      </c>
      <c r="Z100" s="115">
        <v>0</v>
      </c>
      <c r="AA100" s="53"/>
      <c r="AB100" s="53"/>
      <c r="AC100" s="275">
        <v>50000</v>
      </c>
      <c r="AD100" s="275">
        <v>100000</v>
      </c>
      <c r="AE100" s="275">
        <v>250000</v>
      </c>
      <c r="AF100" s="58"/>
      <c r="AG100" s="47"/>
      <c r="AH100" s="53">
        <f t="shared" si="24"/>
        <v>400000</v>
      </c>
      <c r="AI100" s="51"/>
      <c r="AJ100" s="218">
        <f t="shared" si="19"/>
        <v>0</v>
      </c>
    </row>
    <row r="101" spans="1:36" s="36" customFormat="1" ht="15.75" x14ac:dyDescent="0.25">
      <c r="A101" s="113" t="s">
        <v>586</v>
      </c>
      <c r="B101" s="35" t="s">
        <v>587</v>
      </c>
      <c r="C101" s="52" t="s">
        <v>45</v>
      </c>
      <c r="D101" s="52" t="s">
        <v>45</v>
      </c>
      <c r="E101" s="35"/>
      <c r="F101" s="52" t="s">
        <v>623</v>
      </c>
      <c r="G101" s="52"/>
      <c r="H101" s="52"/>
      <c r="I101" s="50">
        <f t="shared" si="22"/>
        <v>0</v>
      </c>
      <c r="J101" s="52" t="s">
        <v>320</v>
      </c>
      <c r="K101" s="52"/>
      <c r="L101" s="52"/>
      <c r="M101" s="52"/>
      <c r="N101" s="50">
        <f t="shared" si="23"/>
        <v>0</v>
      </c>
      <c r="O101" s="50"/>
      <c r="P101" s="50"/>
      <c r="Q101" s="58">
        <f>2177500-500000</f>
        <v>1677500</v>
      </c>
      <c r="R101" s="115">
        <v>0</v>
      </c>
      <c r="S101" s="115">
        <v>0</v>
      </c>
      <c r="T101" s="115">
        <v>0</v>
      </c>
      <c r="U101" s="115">
        <v>0</v>
      </c>
      <c r="V101" s="115">
        <v>0</v>
      </c>
      <c r="W101" s="115">
        <v>0</v>
      </c>
      <c r="X101" s="115">
        <v>0</v>
      </c>
      <c r="Y101" s="115">
        <v>0</v>
      </c>
      <c r="Z101" s="115">
        <v>0</v>
      </c>
      <c r="AA101" s="53"/>
      <c r="AB101" s="53"/>
      <c r="AC101" s="53"/>
      <c r="AD101" s="53"/>
      <c r="AE101" s="275">
        <v>1677500</v>
      </c>
      <c r="AF101" s="53"/>
      <c r="AG101" s="47"/>
      <c r="AH101" s="53">
        <f t="shared" si="24"/>
        <v>1677500</v>
      </c>
      <c r="AI101" s="51"/>
      <c r="AJ101" s="218">
        <f t="shared" si="19"/>
        <v>0</v>
      </c>
    </row>
    <row r="102" spans="1:36" s="36" customFormat="1" ht="15.75" x14ac:dyDescent="0.25">
      <c r="A102" s="113" t="s">
        <v>589</v>
      </c>
      <c r="B102" s="35" t="s">
        <v>590</v>
      </c>
      <c r="C102" s="52" t="s">
        <v>45</v>
      </c>
      <c r="D102" s="52" t="s">
        <v>45</v>
      </c>
      <c r="E102" s="35"/>
      <c r="F102" s="52" t="s">
        <v>623</v>
      </c>
      <c r="G102" s="52"/>
      <c r="H102" s="52"/>
      <c r="I102" s="50">
        <f t="shared" si="22"/>
        <v>0</v>
      </c>
      <c r="J102" s="52" t="s">
        <v>320</v>
      </c>
      <c r="K102" s="52"/>
      <c r="L102" s="52"/>
      <c r="M102" s="52"/>
      <c r="N102" s="50">
        <f t="shared" si="23"/>
        <v>0</v>
      </c>
      <c r="O102" s="50"/>
      <c r="P102" s="50"/>
      <c r="Q102" s="53">
        <v>753000</v>
      </c>
      <c r="R102" s="115">
        <v>0</v>
      </c>
      <c r="S102" s="115">
        <v>0</v>
      </c>
      <c r="T102" s="115">
        <v>0</v>
      </c>
      <c r="U102" s="115">
        <v>0</v>
      </c>
      <c r="V102" s="115">
        <v>0</v>
      </c>
      <c r="W102" s="115">
        <v>0</v>
      </c>
      <c r="X102" s="115">
        <v>0</v>
      </c>
      <c r="Y102" s="115">
        <v>0</v>
      </c>
      <c r="Z102" s="115">
        <v>0</v>
      </c>
      <c r="AA102" s="53"/>
      <c r="AB102" s="53"/>
      <c r="AC102" s="53"/>
      <c r="AD102" s="53"/>
      <c r="AE102" s="275">
        <v>753000</v>
      </c>
      <c r="AF102" s="53"/>
      <c r="AG102" s="47"/>
      <c r="AH102" s="53">
        <f t="shared" si="24"/>
        <v>753000</v>
      </c>
      <c r="AI102" s="51"/>
      <c r="AJ102" s="218">
        <f t="shared" si="19"/>
        <v>0</v>
      </c>
    </row>
    <row r="103" spans="1:36" s="36" customFormat="1" ht="15.75" x14ac:dyDescent="0.25">
      <c r="A103" s="113" t="s">
        <v>583</v>
      </c>
      <c r="B103" s="35" t="s">
        <v>588</v>
      </c>
      <c r="C103" s="52" t="s">
        <v>45</v>
      </c>
      <c r="D103" s="52" t="s">
        <v>45</v>
      </c>
      <c r="E103" s="35"/>
      <c r="F103" s="52" t="s">
        <v>623</v>
      </c>
      <c r="G103" s="52"/>
      <c r="H103" s="52"/>
      <c r="I103" s="50">
        <f t="shared" si="22"/>
        <v>0</v>
      </c>
      <c r="J103" s="52" t="s">
        <v>320</v>
      </c>
      <c r="K103" s="52"/>
      <c r="L103" s="52"/>
      <c r="M103" s="52"/>
      <c r="N103" s="50">
        <f t="shared" si="23"/>
        <v>0</v>
      </c>
      <c r="O103" s="50"/>
      <c r="P103" s="50"/>
      <c r="Q103" s="53">
        <v>500000</v>
      </c>
      <c r="R103" s="115">
        <v>0</v>
      </c>
      <c r="S103" s="115">
        <v>0</v>
      </c>
      <c r="T103" s="115">
        <v>0</v>
      </c>
      <c r="U103" s="115">
        <v>0</v>
      </c>
      <c r="V103" s="115">
        <v>0</v>
      </c>
      <c r="W103" s="115">
        <v>0</v>
      </c>
      <c r="X103" s="115">
        <v>0</v>
      </c>
      <c r="Y103" s="115">
        <v>0</v>
      </c>
      <c r="Z103" s="115">
        <v>0</v>
      </c>
      <c r="AA103" s="53"/>
      <c r="AB103" s="53"/>
      <c r="AC103" s="53"/>
      <c r="AD103" s="53"/>
      <c r="AE103" s="275">
        <v>500000</v>
      </c>
      <c r="AF103" s="53"/>
      <c r="AG103" s="47"/>
      <c r="AH103" s="53">
        <f t="shared" si="24"/>
        <v>500000</v>
      </c>
      <c r="AI103" s="51"/>
      <c r="AJ103" s="218">
        <f t="shared" si="19"/>
        <v>0</v>
      </c>
    </row>
    <row r="104" spans="1:36" s="36" customFormat="1" ht="15.75" x14ac:dyDescent="0.25">
      <c r="A104" s="113" t="s">
        <v>584</v>
      </c>
      <c r="B104" s="35" t="s">
        <v>585</v>
      </c>
      <c r="C104" s="52" t="s">
        <v>45</v>
      </c>
      <c r="D104" s="52" t="s">
        <v>45</v>
      </c>
      <c r="E104" s="35"/>
      <c r="F104" s="52" t="s">
        <v>623</v>
      </c>
      <c r="G104" s="52"/>
      <c r="H104" s="52"/>
      <c r="I104" s="50">
        <f t="shared" si="22"/>
        <v>0</v>
      </c>
      <c r="J104" s="52" t="s">
        <v>320</v>
      </c>
      <c r="K104" s="52"/>
      <c r="L104" s="52"/>
      <c r="M104" s="52"/>
      <c r="N104" s="50">
        <f t="shared" si="23"/>
        <v>0</v>
      </c>
      <c r="O104" s="50"/>
      <c r="P104" s="50"/>
      <c r="Q104" s="53">
        <v>450000</v>
      </c>
      <c r="R104" s="115">
        <v>0</v>
      </c>
      <c r="S104" s="115">
        <v>0</v>
      </c>
      <c r="T104" s="115">
        <v>0</v>
      </c>
      <c r="U104" s="115">
        <v>0</v>
      </c>
      <c r="V104" s="115">
        <v>0</v>
      </c>
      <c r="W104" s="115">
        <v>0</v>
      </c>
      <c r="X104" s="115">
        <v>0</v>
      </c>
      <c r="Y104" s="115">
        <v>0</v>
      </c>
      <c r="Z104" s="115">
        <v>0</v>
      </c>
      <c r="AA104" s="53"/>
      <c r="AB104" s="53"/>
      <c r="AC104" s="53"/>
      <c r="AD104" s="53"/>
      <c r="AE104" s="275">
        <v>450000</v>
      </c>
      <c r="AF104" s="53"/>
      <c r="AG104" s="47"/>
      <c r="AH104" s="53">
        <f t="shared" si="24"/>
        <v>450000</v>
      </c>
      <c r="AI104" s="51"/>
      <c r="AJ104" s="218">
        <f t="shared" si="19"/>
        <v>0</v>
      </c>
    </row>
    <row r="105" spans="1:36" s="36" customFormat="1" ht="15.75" x14ac:dyDescent="0.25">
      <c r="A105" s="113" t="s">
        <v>714</v>
      </c>
      <c r="B105" s="35" t="s">
        <v>715</v>
      </c>
      <c r="C105" s="52" t="s">
        <v>45</v>
      </c>
      <c r="D105" s="52" t="s">
        <v>45</v>
      </c>
      <c r="E105" s="35"/>
      <c r="F105" s="52"/>
      <c r="G105" s="52"/>
      <c r="H105" s="52"/>
      <c r="I105" s="50"/>
      <c r="J105" s="52" t="s">
        <v>320</v>
      </c>
      <c r="K105" s="52"/>
      <c r="L105" s="52"/>
      <c r="M105" s="52"/>
      <c r="N105" s="50"/>
      <c r="O105" s="50"/>
      <c r="P105" s="50"/>
      <c r="Q105" s="53"/>
      <c r="R105" s="115">
        <v>0</v>
      </c>
      <c r="S105" s="115">
        <v>0</v>
      </c>
      <c r="T105" s="115">
        <v>0</v>
      </c>
      <c r="U105" s="115">
        <v>0</v>
      </c>
      <c r="V105" s="115">
        <v>0</v>
      </c>
      <c r="W105" s="115">
        <v>0</v>
      </c>
      <c r="X105" s="115">
        <v>0</v>
      </c>
      <c r="Y105" s="115">
        <v>0</v>
      </c>
      <c r="Z105" s="115">
        <v>0</v>
      </c>
      <c r="AA105" s="53"/>
      <c r="AB105" s="53"/>
      <c r="AC105" s="53"/>
      <c r="AD105" s="53"/>
      <c r="AE105" s="275"/>
      <c r="AF105" s="53"/>
      <c r="AG105" s="47"/>
      <c r="AH105" s="53"/>
      <c r="AI105" s="51"/>
      <c r="AJ105" s="218">
        <f t="shared" si="19"/>
        <v>0</v>
      </c>
    </row>
    <row r="106" spans="1:36" s="36" customFormat="1" ht="15.75" x14ac:dyDescent="0.25">
      <c r="A106" s="113" t="s">
        <v>716</v>
      </c>
      <c r="B106" s="35" t="s">
        <v>699</v>
      </c>
      <c r="C106" s="52" t="s">
        <v>45</v>
      </c>
      <c r="D106" s="52" t="s">
        <v>45</v>
      </c>
      <c r="E106" s="105" t="s">
        <v>700</v>
      </c>
      <c r="F106" s="52" t="s">
        <v>623</v>
      </c>
      <c r="G106" s="52">
        <v>44470</v>
      </c>
      <c r="H106" s="52">
        <v>44490</v>
      </c>
      <c r="I106" s="50">
        <f>H106-G106</f>
        <v>20</v>
      </c>
      <c r="J106" s="52" t="s">
        <v>320</v>
      </c>
      <c r="K106" s="52"/>
      <c r="L106" s="52"/>
      <c r="M106" s="52"/>
      <c r="N106" s="50">
        <f>((L106-K106)/7)/4.3</f>
        <v>0</v>
      </c>
      <c r="O106" s="50"/>
      <c r="P106" s="50"/>
      <c r="Q106" s="53">
        <v>350000</v>
      </c>
      <c r="R106" s="115">
        <v>0</v>
      </c>
      <c r="S106" s="115">
        <v>0</v>
      </c>
      <c r="T106" s="115">
        <v>0</v>
      </c>
      <c r="U106" s="115">
        <v>0</v>
      </c>
      <c r="V106" s="115">
        <v>0</v>
      </c>
      <c r="W106" s="115">
        <v>0</v>
      </c>
      <c r="X106" s="115">
        <v>0</v>
      </c>
      <c r="Y106" s="115">
        <v>0</v>
      </c>
      <c r="Z106" s="115">
        <v>0</v>
      </c>
      <c r="AA106" s="53"/>
      <c r="AB106" s="53"/>
      <c r="AC106" s="275">
        <v>50000</v>
      </c>
      <c r="AD106" s="275">
        <v>100000</v>
      </c>
      <c r="AE106" s="275">
        <v>200000</v>
      </c>
      <c r="AF106" s="53"/>
      <c r="AG106" s="47"/>
      <c r="AH106" s="53">
        <f>SUM(R106:AG106)</f>
        <v>350000</v>
      </c>
      <c r="AI106" s="51"/>
      <c r="AJ106" s="218">
        <f t="shared" si="19"/>
        <v>0</v>
      </c>
    </row>
    <row r="107" spans="1:36" s="36" customFormat="1" ht="15.75" x14ac:dyDescent="0.25">
      <c r="A107" s="113" t="s">
        <v>717</v>
      </c>
      <c r="B107" s="35" t="s">
        <v>524</v>
      </c>
      <c r="C107" s="52" t="s">
        <v>45</v>
      </c>
      <c r="D107" s="52" t="s">
        <v>45</v>
      </c>
      <c r="E107" s="35" t="s">
        <v>522</v>
      </c>
      <c r="F107" s="52" t="s">
        <v>623</v>
      </c>
      <c r="G107" s="52">
        <v>44531</v>
      </c>
      <c r="H107" s="52">
        <v>44561</v>
      </c>
      <c r="I107" s="50">
        <f>H107-G107</f>
        <v>30</v>
      </c>
      <c r="J107" s="52" t="s">
        <v>320</v>
      </c>
      <c r="K107" s="52"/>
      <c r="L107" s="52"/>
      <c r="M107" s="52"/>
      <c r="N107" s="50">
        <f>((L107-K107)/7)/4.3</f>
        <v>0</v>
      </c>
      <c r="O107" s="50"/>
      <c r="P107" s="50"/>
      <c r="Q107" s="53">
        <v>3000000</v>
      </c>
      <c r="R107" s="115">
        <v>0</v>
      </c>
      <c r="S107" s="115">
        <v>0</v>
      </c>
      <c r="T107" s="115">
        <v>0</v>
      </c>
      <c r="U107" s="115">
        <v>0</v>
      </c>
      <c r="V107" s="115">
        <v>0</v>
      </c>
      <c r="W107" s="115">
        <v>0</v>
      </c>
      <c r="X107" s="115">
        <v>0</v>
      </c>
      <c r="Y107" s="115">
        <v>0</v>
      </c>
      <c r="Z107" s="115">
        <v>0</v>
      </c>
      <c r="AA107" s="53"/>
      <c r="AB107" s="53"/>
      <c r="AC107" s="53"/>
      <c r="AD107" s="53"/>
      <c r="AE107" s="275">
        <v>3000000</v>
      </c>
      <c r="AF107" s="53"/>
      <c r="AG107" s="47"/>
      <c r="AH107" s="53">
        <f>SUM(R107:AG107)</f>
        <v>3000000</v>
      </c>
      <c r="AI107" s="51"/>
      <c r="AJ107" s="218">
        <f t="shared" si="19"/>
        <v>0</v>
      </c>
    </row>
    <row r="108" spans="1:36" s="36" customFormat="1" ht="15.75" x14ac:dyDescent="0.25">
      <c r="A108" s="113" t="s">
        <v>718</v>
      </c>
      <c r="B108" s="35" t="s">
        <v>660</v>
      </c>
      <c r="C108" s="52" t="s">
        <v>45</v>
      </c>
      <c r="D108" s="52" t="s">
        <v>45</v>
      </c>
      <c r="E108" s="35"/>
      <c r="F108" s="52" t="s">
        <v>623</v>
      </c>
      <c r="G108" s="52">
        <v>44501</v>
      </c>
      <c r="H108" s="52">
        <v>44546</v>
      </c>
      <c r="I108" s="50">
        <f>H108-G108</f>
        <v>45</v>
      </c>
      <c r="J108" s="52" t="s">
        <v>320</v>
      </c>
      <c r="K108" s="52"/>
      <c r="L108" s="52"/>
      <c r="M108" s="52"/>
      <c r="N108" s="50">
        <f>((L108-K108)/7)/4.3</f>
        <v>0</v>
      </c>
      <c r="O108" s="50"/>
      <c r="P108" s="50"/>
      <c r="Q108" s="53">
        <v>680000</v>
      </c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53"/>
      <c r="AB108" s="53"/>
      <c r="AC108" s="53"/>
      <c r="AD108" s="53"/>
      <c r="AE108" s="275">
        <v>680000</v>
      </c>
      <c r="AF108" s="53"/>
      <c r="AG108" s="47"/>
      <c r="AH108" s="53">
        <f>SUM(R108:AG108)</f>
        <v>680000</v>
      </c>
      <c r="AI108" s="51"/>
      <c r="AJ108" s="218">
        <f t="shared" si="19"/>
        <v>0</v>
      </c>
    </row>
    <row r="109" spans="1:36" s="36" customFormat="1" ht="15.75" x14ac:dyDescent="0.25">
      <c r="A109" s="113" t="s">
        <v>719</v>
      </c>
      <c r="B109" s="35" t="s">
        <v>661</v>
      </c>
      <c r="C109" s="52" t="s">
        <v>45</v>
      </c>
      <c r="D109" s="52" t="s">
        <v>45</v>
      </c>
      <c r="E109" s="35"/>
      <c r="F109" s="52" t="s">
        <v>623</v>
      </c>
      <c r="G109" s="52">
        <v>44501</v>
      </c>
      <c r="H109" s="52">
        <v>44546</v>
      </c>
      <c r="I109" s="50">
        <f>H109-G109</f>
        <v>45</v>
      </c>
      <c r="J109" s="52" t="s">
        <v>320</v>
      </c>
      <c r="K109" s="52"/>
      <c r="L109" s="52"/>
      <c r="M109" s="52"/>
      <c r="N109" s="50">
        <f>((L109-K109)/7)/4.3</f>
        <v>0</v>
      </c>
      <c r="O109" s="50"/>
      <c r="P109" s="50"/>
      <c r="Q109" s="53">
        <f>2860000-680000</f>
        <v>2180000</v>
      </c>
      <c r="R109" s="115">
        <v>0</v>
      </c>
      <c r="S109" s="115">
        <v>0</v>
      </c>
      <c r="T109" s="115">
        <v>0</v>
      </c>
      <c r="U109" s="115">
        <v>0</v>
      </c>
      <c r="V109" s="115">
        <v>0</v>
      </c>
      <c r="W109" s="115">
        <v>0</v>
      </c>
      <c r="X109" s="115">
        <v>0</v>
      </c>
      <c r="Y109" s="115">
        <v>0</v>
      </c>
      <c r="Z109" s="115">
        <v>0</v>
      </c>
      <c r="AA109" s="53"/>
      <c r="AB109" s="53"/>
      <c r="AC109" s="53"/>
      <c r="AD109" s="53"/>
      <c r="AE109" s="275">
        <v>2180000</v>
      </c>
      <c r="AF109" s="53"/>
      <c r="AG109" s="47"/>
      <c r="AH109" s="53">
        <f>SUM(R109:AG109)</f>
        <v>2180000</v>
      </c>
      <c r="AI109" s="51"/>
      <c r="AJ109" s="218">
        <f t="shared" si="19"/>
        <v>0</v>
      </c>
    </row>
    <row r="110" spans="1:36" s="36" customFormat="1" ht="15.75" x14ac:dyDescent="0.25">
      <c r="A110" s="113" t="s">
        <v>720</v>
      </c>
      <c r="B110" s="35" t="s">
        <v>721</v>
      </c>
      <c r="C110" s="52" t="s">
        <v>45</v>
      </c>
      <c r="D110" s="52" t="s">
        <v>45</v>
      </c>
      <c r="E110" s="35"/>
      <c r="F110" s="52"/>
      <c r="G110" s="52"/>
      <c r="H110" s="52"/>
      <c r="I110" s="50"/>
      <c r="J110" s="52" t="s">
        <v>320</v>
      </c>
      <c r="K110" s="52"/>
      <c r="L110" s="52"/>
      <c r="M110" s="52"/>
      <c r="N110" s="50"/>
      <c r="O110" s="50"/>
      <c r="P110" s="50"/>
      <c r="Q110" s="53"/>
      <c r="R110" s="115">
        <v>0</v>
      </c>
      <c r="S110" s="115">
        <v>0</v>
      </c>
      <c r="T110" s="115">
        <v>0</v>
      </c>
      <c r="U110" s="115">
        <v>0</v>
      </c>
      <c r="V110" s="115">
        <v>0</v>
      </c>
      <c r="W110" s="115">
        <v>0</v>
      </c>
      <c r="X110" s="115">
        <v>0</v>
      </c>
      <c r="Y110" s="115">
        <v>0</v>
      </c>
      <c r="Z110" s="115">
        <v>0</v>
      </c>
      <c r="AA110" s="53"/>
      <c r="AB110" s="53"/>
      <c r="AC110" s="53"/>
      <c r="AD110" s="53"/>
      <c r="AE110" s="275"/>
      <c r="AF110" s="53"/>
      <c r="AG110" s="47"/>
      <c r="AH110" s="53"/>
      <c r="AI110" s="51"/>
      <c r="AJ110" s="218">
        <f t="shared" si="19"/>
        <v>0</v>
      </c>
    </row>
    <row r="111" spans="1:36" s="36" customFormat="1" ht="15.75" x14ac:dyDescent="0.25">
      <c r="A111" s="113" t="s">
        <v>722</v>
      </c>
      <c r="B111" s="35" t="s">
        <v>723</v>
      </c>
      <c r="C111" s="52" t="s">
        <v>45</v>
      </c>
      <c r="D111" s="52" t="s">
        <v>45</v>
      </c>
      <c r="E111" s="35"/>
      <c r="F111" s="52" t="s">
        <v>623</v>
      </c>
      <c r="G111" s="52"/>
      <c r="H111" s="52"/>
      <c r="I111" s="50">
        <f>H111-G111</f>
        <v>0</v>
      </c>
      <c r="J111" s="52" t="s">
        <v>320</v>
      </c>
      <c r="K111" s="52"/>
      <c r="L111" s="52"/>
      <c r="M111" s="52"/>
      <c r="N111" s="50">
        <f>((L111-K111)/7)/4.3</f>
        <v>0</v>
      </c>
      <c r="O111" s="50"/>
      <c r="P111" s="50"/>
      <c r="Q111" s="53"/>
      <c r="R111" s="115">
        <v>0</v>
      </c>
      <c r="S111" s="115">
        <v>0</v>
      </c>
      <c r="T111" s="115">
        <v>0</v>
      </c>
      <c r="U111" s="115">
        <v>0</v>
      </c>
      <c r="V111" s="115">
        <v>0</v>
      </c>
      <c r="W111" s="115">
        <v>0</v>
      </c>
      <c r="X111" s="115">
        <v>0</v>
      </c>
      <c r="Y111" s="115">
        <v>0</v>
      </c>
      <c r="Z111" s="115">
        <v>0</v>
      </c>
      <c r="AA111" s="53"/>
      <c r="AB111" s="53"/>
      <c r="AC111" s="53"/>
      <c r="AD111" s="53"/>
      <c r="AE111" s="58"/>
      <c r="AF111" s="53"/>
      <c r="AG111" s="47"/>
      <c r="AH111" s="53">
        <f>SUM(R111:AG111)</f>
        <v>0</v>
      </c>
      <c r="AI111" s="51"/>
      <c r="AJ111" s="218">
        <f t="shared" si="19"/>
        <v>0</v>
      </c>
    </row>
    <row r="112" spans="1:36" s="36" customFormat="1" ht="15.75" x14ac:dyDescent="0.25">
      <c r="A112" s="113" t="s">
        <v>724</v>
      </c>
      <c r="B112" s="35" t="s">
        <v>654</v>
      </c>
      <c r="C112" s="52" t="s">
        <v>45</v>
      </c>
      <c r="D112" s="52" t="s">
        <v>45</v>
      </c>
      <c r="E112" s="35"/>
      <c r="F112" s="52" t="s">
        <v>623</v>
      </c>
      <c r="G112" s="52">
        <v>44470</v>
      </c>
      <c r="H112" s="52">
        <v>44500</v>
      </c>
      <c r="I112" s="50">
        <f>H112-G112</f>
        <v>30</v>
      </c>
      <c r="J112" s="52" t="s">
        <v>320</v>
      </c>
      <c r="K112" s="52"/>
      <c r="L112" s="52"/>
      <c r="M112" s="52"/>
      <c r="N112" s="50">
        <f>((L112-K112)/7)/4.3</f>
        <v>0</v>
      </c>
      <c r="O112" s="50"/>
      <c r="P112" s="50"/>
      <c r="Q112" s="53">
        <v>1225500</v>
      </c>
      <c r="R112" s="115">
        <v>0</v>
      </c>
      <c r="S112" s="115">
        <v>0</v>
      </c>
      <c r="T112" s="115">
        <v>0</v>
      </c>
      <c r="U112" s="115">
        <v>0</v>
      </c>
      <c r="V112" s="115">
        <v>0</v>
      </c>
      <c r="W112" s="115">
        <v>0</v>
      </c>
      <c r="X112" s="115">
        <v>0</v>
      </c>
      <c r="Y112" s="115">
        <v>0</v>
      </c>
      <c r="Z112" s="115">
        <v>0</v>
      </c>
      <c r="AA112" s="53"/>
      <c r="AB112" s="53"/>
      <c r="AC112" s="53"/>
      <c r="AD112" s="53"/>
      <c r="AE112" s="275">
        <v>1225500</v>
      </c>
      <c r="AF112" s="53"/>
      <c r="AG112" s="47"/>
      <c r="AH112" s="53">
        <f>SUM(R112:AG112)</f>
        <v>1225500</v>
      </c>
      <c r="AI112" s="51"/>
      <c r="AJ112" s="218">
        <f t="shared" si="19"/>
        <v>0</v>
      </c>
    </row>
    <row r="113" spans="1:36" s="36" customFormat="1" ht="15.75" x14ac:dyDescent="0.25">
      <c r="A113" s="113" t="s">
        <v>725</v>
      </c>
      <c r="B113" s="35" t="s">
        <v>663</v>
      </c>
      <c r="C113" s="52" t="s">
        <v>45</v>
      </c>
      <c r="D113" s="52" t="s">
        <v>45</v>
      </c>
      <c r="E113" s="35"/>
      <c r="F113" s="52" t="s">
        <v>623</v>
      </c>
      <c r="G113" s="52">
        <v>44530</v>
      </c>
      <c r="H113" s="52">
        <v>44560</v>
      </c>
      <c r="I113" s="50">
        <f>H113-G113</f>
        <v>30</v>
      </c>
      <c r="J113" s="52" t="s">
        <v>320</v>
      </c>
      <c r="K113" s="52"/>
      <c r="L113" s="52"/>
      <c r="M113" s="52"/>
      <c r="N113" s="50">
        <f>((L113-K113)/7)/4.3</f>
        <v>0</v>
      </c>
      <c r="O113" s="50"/>
      <c r="P113" s="50"/>
      <c r="Q113" s="53">
        <v>250000</v>
      </c>
      <c r="R113" s="115">
        <v>0</v>
      </c>
      <c r="S113" s="115">
        <v>0</v>
      </c>
      <c r="T113" s="115">
        <v>0</v>
      </c>
      <c r="U113" s="115">
        <v>0</v>
      </c>
      <c r="V113" s="115">
        <v>0</v>
      </c>
      <c r="W113" s="115">
        <v>0</v>
      </c>
      <c r="X113" s="115">
        <v>0</v>
      </c>
      <c r="Y113" s="115">
        <v>0</v>
      </c>
      <c r="Z113" s="115">
        <v>0</v>
      </c>
      <c r="AA113" s="53"/>
      <c r="AB113" s="53"/>
      <c r="AC113" s="53"/>
      <c r="AD113" s="53"/>
      <c r="AE113" s="275">
        <v>250000</v>
      </c>
      <c r="AF113" s="53"/>
      <c r="AG113" s="47"/>
      <c r="AH113" s="53">
        <f>SUM(R113:AG113)</f>
        <v>250000</v>
      </c>
      <c r="AI113" s="51"/>
      <c r="AJ113" s="218">
        <f t="shared" si="19"/>
        <v>0</v>
      </c>
    </row>
    <row r="114" spans="1:36" s="36" customFormat="1" ht="15.75" x14ac:dyDescent="0.25">
      <c r="A114" s="113" t="s">
        <v>726</v>
      </c>
      <c r="B114" s="35" t="s">
        <v>662</v>
      </c>
      <c r="C114" s="52" t="s">
        <v>45</v>
      </c>
      <c r="D114" s="52" t="s">
        <v>45</v>
      </c>
      <c r="E114" s="35"/>
      <c r="F114" s="52" t="s">
        <v>623</v>
      </c>
      <c r="G114" s="52">
        <v>44530</v>
      </c>
      <c r="H114" s="52">
        <v>44560</v>
      </c>
      <c r="I114" s="50">
        <f>H114-G114</f>
        <v>30</v>
      </c>
      <c r="J114" s="52" t="s">
        <v>320</v>
      </c>
      <c r="K114" s="52"/>
      <c r="L114" s="52"/>
      <c r="M114" s="52"/>
      <c r="N114" s="50">
        <f>((L114-K114)/7)/4.3</f>
        <v>0</v>
      </c>
      <c r="O114" s="50"/>
      <c r="P114" s="50"/>
      <c r="Q114" s="53">
        <v>450000</v>
      </c>
      <c r="R114" s="115">
        <v>0</v>
      </c>
      <c r="S114" s="115">
        <v>0</v>
      </c>
      <c r="T114" s="115">
        <v>0</v>
      </c>
      <c r="U114" s="115">
        <v>0</v>
      </c>
      <c r="V114" s="115">
        <v>0</v>
      </c>
      <c r="W114" s="115">
        <v>0</v>
      </c>
      <c r="X114" s="115">
        <v>0</v>
      </c>
      <c r="Y114" s="115">
        <v>0</v>
      </c>
      <c r="Z114" s="115">
        <v>0</v>
      </c>
      <c r="AA114" s="53"/>
      <c r="AB114" s="53"/>
      <c r="AC114" s="53"/>
      <c r="AD114" s="53"/>
      <c r="AE114" s="275">
        <v>450000</v>
      </c>
      <c r="AF114" s="53"/>
      <c r="AG114" s="47"/>
      <c r="AH114" s="53">
        <f>SUM(R114:AG114)</f>
        <v>450000</v>
      </c>
      <c r="AI114" s="51"/>
      <c r="AJ114" s="218">
        <f t="shared" si="19"/>
        <v>0</v>
      </c>
    </row>
    <row r="115" spans="1:36" s="36" customFormat="1" ht="15.75" x14ac:dyDescent="0.25">
      <c r="A115" s="113" t="s">
        <v>727</v>
      </c>
      <c r="B115" s="35" t="s">
        <v>653</v>
      </c>
      <c r="C115" s="52" t="s">
        <v>45</v>
      </c>
      <c r="D115" s="52" t="s">
        <v>45</v>
      </c>
      <c r="E115" s="35"/>
      <c r="F115" s="52" t="s">
        <v>623</v>
      </c>
      <c r="G115" s="52">
        <v>44501</v>
      </c>
      <c r="H115" s="52">
        <v>44531</v>
      </c>
      <c r="I115" s="50">
        <f>H115-G115</f>
        <v>30</v>
      </c>
      <c r="J115" s="52" t="s">
        <v>320</v>
      </c>
      <c r="K115" s="52"/>
      <c r="L115" s="52"/>
      <c r="M115" s="52"/>
      <c r="N115" s="50">
        <f>((L115-K115)/7)/4.3</f>
        <v>0</v>
      </c>
      <c r="O115" s="50"/>
      <c r="P115" s="50"/>
      <c r="Q115" s="53">
        <v>1200000</v>
      </c>
      <c r="R115" s="115">
        <v>0</v>
      </c>
      <c r="S115" s="115">
        <v>0</v>
      </c>
      <c r="T115" s="115">
        <v>0</v>
      </c>
      <c r="U115" s="115">
        <v>0</v>
      </c>
      <c r="V115" s="115">
        <v>0</v>
      </c>
      <c r="W115" s="115">
        <v>0</v>
      </c>
      <c r="X115" s="115">
        <v>0</v>
      </c>
      <c r="Y115" s="115">
        <v>0</v>
      </c>
      <c r="Z115" s="115">
        <v>0</v>
      </c>
      <c r="AA115" s="53"/>
      <c r="AB115" s="53"/>
      <c r="AC115" s="53"/>
      <c r="AD115" s="53"/>
      <c r="AE115" s="275">
        <v>1200000</v>
      </c>
      <c r="AF115" s="53"/>
      <c r="AG115" s="47"/>
      <c r="AH115" s="53">
        <f>SUM(R115:AG115)</f>
        <v>1200000</v>
      </c>
      <c r="AI115" s="51"/>
      <c r="AJ115" s="218">
        <f t="shared" si="19"/>
        <v>0</v>
      </c>
    </row>
    <row r="116" spans="1:36" s="36" customFormat="1" ht="15.75" x14ac:dyDescent="0.25">
      <c r="A116" s="113" t="s">
        <v>728</v>
      </c>
      <c r="B116" s="35" t="s">
        <v>731</v>
      </c>
      <c r="C116" s="52" t="s">
        <v>45</v>
      </c>
      <c r="D116" s="52" t="s">
        <v>45</v>
      </c>
      <c r="E116" s="35"/>
      <c r="F116" s="52"/>
      <c r="G116" s="52"/>
      <c r="H116" s="52"/>
      <c r="I116" s="50"/>
      <c r="J116" s="52" t="s">
        <v>320</v>
      </c>
      <c r="K116" s="52"/>
      <c r="L116" s="52"/>
      <c r="M116" s="52"/>
      <c r="N116" s="50"/>
      <c r="O116" s="50"/>
      <c r="P116" s="50"/>
      <c r="Q116" s="53"/>
      <c r="R116" s="115">
        <v>0</v>
      </c>
      <c r="S116" s="115">
        <v>0</v>
      </c>
      <c r="T116" s="115">
        <v>0</v>
      </c>
      <c r="U116" s="115">
        <v>0</v>
      </c>
      <c r="V116" s="115">
        <v>0</v>
      </c>
      <c r="W116" s="115">
        <v>0</v>
      </c>
      <c r="X116" s="115">
        <v>0</v>
      </c>
      <c r="Y116" s="115">
        <v>0</v>
      </c>
      <c r="Z116" s="115">
        <v>0</v>
      </c>
      <c r="AA116" s="53"/>
      <c r="AB116" s="53"/>
      <c r="AC116" s="53"/>
      <c r="AD116" s="53"/>
      <c r="AE116" s="275"/>
      <c r="AF116" s="53"/>
      <c r="AG116" s="47"/>
      <c r="AH116" s="53"/>
      <c r="AI116" s="51"/>
      <c r="AJ116" s="218">
        <f t="shared" si="19"/>
        <v>0</v>
      </c>
    </row>
    <row r="117" spans="1:36" s="36" customFormat="1" ht="15.75" x14ac:dyDescent="0.25">
      <c r="A117" s="113" t="s">
        <v>729</v>
      </c>
      <c r="B117" s="35" t="s">
        <v>730</v>
      </c>
      <c r="C117" s="52" t="s">
        <v>45</v>
      </c>
      <c r="D117" s="52" t="s">
        <v>45</v>
      </c>
      <c r="E117" s="35"/>
      <c r="F117" s="52"/>
      <c r="G117" s="52"/>
      <c r="H117" s="52"/>
      <c r="I117" s="50"/>
      <c r="J117" s="52" t="s">
        <v>320</v>
      </c>
      <c r="K117" s="52"/>
      <c r="L117" s="52"/>
      <c r="M117" s="52"/>
      <c r="N117" s="50"/>
      <c r="O117" s="50"/>
      <c r="P117" s="50"/>
      <c r="Q117" s="53"/>
      <c r="R117" s="115">
        <v>0</v>
      </c>
      <c r="S117" s="115">
        <v>0</v>
      </c>
      <c r="T117" s="115">
        <v>0</v>
      </c>
      <c r="U117" s="115">
        <v>0</v>
      </c>
      <c r="V117" s="115">
        <v>0</v>
      </c>
      <c r="W117" s="115">
        <v>0</v>
      </c>
      <c r="X117" s="115">
        <v>0</v>
      </c>
      <c r="Y117" s="115">
        <v>0</v>
      </c>
      <c r="Z117" s="115">
        <v>0</v>
      </c>
      <c r="AA117" s="53"/>
      <c r="AB117" s="53"/>
      <c r="AC117" s="53"/>
      <c r="AD117" s="53"/>
      <c r="AE117" s="275"/>
      <c r="AF117" s="53"/>
      <c r="AG117" s="47"/>
      <c r="AH117" s="53"/>
      <c r="AI117" s="51"/>
      <c r="AJ117" s="218">
        <f t="shared" si="19"/>
        <v>0</v>
      </c>
    </row>
    <row r="118" spans="1:36" s="36" customFormat="1" ht="15.75" x14ac:dyDescent="0.25">
      <c r="A118" s="113" t="s">
        <v>732</v>
      </c>
      <c r="B118" s="35" t="s">
        <v>733</v>
      </c>
      <c r="C118" s="52" t="s">
        <v>45</v>
      </c>
      <c r="D118" s="52" t="s">
        <v>45</v>
      </c>
      <c r="E118" s="35"/>
      <c r="F118" s="52" t="s">
        <v>623</v>
      </c>
      <c r="G118" s="52"/>
      <c r="H118" s="52"/>
      <c r="I118" s="50">
        <f t="shared" ref="I118:I128" si="25">H118-G118</f>
        <v>0</v>
      </c>
      <c r="J118" s="52" t="s">
        <v>320</v>
      </c>
      <c r="K118" s="52"/>
      <c r="L118" s="52"/>
      <c r="M118" s="52"/>
      <c r="N118" s="50">
        <f t="shared" ref="N118:N128" si="26">((L118-K118)/7)/4.3</f>
        <v>0</v>
      </c>
      <c r="O118" s="50"/>
      <c r="P118" s="50"/>
      <c r="Q118" s="53"/>
      <c r="R118" s="115">
        <v>0</v>
      </c>
      <c r="S118" s="115">
        <v>0</v>
      </c>
      <c r="T118" s="115">
        <v>0</v>
      </c>
      <c r="U118" s="115">
        <v>0</v>
      </c>
      <c r="V118" s="115">
        <v>0</v>
      </c>
      <c r="W118" s="115">
        <v>0</v>
      </c>
      <c r="X118" s="115">
        <v>0</v>
      </c>
      <c r="Y118" s="115">
        <v>0</v>
      </c>
      <c r="Z118" s="115">
        <v>0</v>
      </c>
      <c r="AA118" s="53"/>
      <c r="AB118" s="53"/>
      <c r="AC118" s="53"/>
      <c r="AD118" s="53"/>
      <c r="AE118" s="58"/>
      <c r="AF118" s="53"/>
      <c r="AG118" s="47"/>
      <c r="AH118" s="53">
        <f t="shared" ref="AH118:AH128" si="27">SUM(R118:AG118)</f>
        <v>0</v>
      </c>
      <c r="AI118" s="51"/>
      <c r="AJ118" s="218">
        <f t="shared" si="19"/>
        <v>0</v>
      </c>
    </row>
    <row r="119" spans="1:36" s="36" customFormat="1" ht="15.75" x14ac:dyDescent="0.25">
      <c r="A119" s="113" t="s">
        <v>734</v>
      </c>
      <c r="B119" s="35" t="s">
        <v>652</v>
      </c>
      <c r="C119" s="52" t="s">
        <v>45</v>
      </c>
      <c r="D119" s="52" t="s">
        <v>45</v>
      </c>
      <c r="E119" s="35" t="s">
        <v>701</v>
      </c>
      <c r="F119" s="52" t="s">
        <v>623</v>
      </c>
      <c r="G119" s="52">
        <v>44531</v>
      </c>
      <c r="H119" s="52">
        <v>44561</v>
      </c>
      <c r="I119" s="50">
        <f t="shared" si="25"/>
        <v>30</v>
      </c>
      <c r="J119" s="52" t="s">
        <v>320</v>
      </c>
      <c r="K119" s="52"/>
      <c r="L119" s="52"/>
      <c r="M119" s="52"/>
      <c r="N119" s="50">
        <f t="shared" si="26"/>
        <v>0</v>
      </c>
      <c r="O119" s="50"/>
      <c r="P119" s="50"/>
      <c r="Q119" s="53">
        <v>750000</v>
      </c>
      <c r="R119" s="115">
        <v>0</v>
      </c>
      <c r="S119" s="115">
        <v>0</v>
      </c>
      <c r="T119" s="115">
        <v>0</v>
      </c>
      <c r="U119" s="115">
        <v>0</v>
      </c>
      <c r="V119" s="115">
        <v>0</v>
      </c>
      <c r="W119" s="115">
        <v>0</v>
      </c>
      <c r="X119" s="115">
        <v>0</v>
      </c>
      <c r="Y119" s="115">
        <v>0</v>
      </c>
      <c r="Z119" s="115">
        <v>0</v>
      </c>
      <c r="AA119" s="53"/>
      <c r="AB119" s="53"/>
      <c r="AC119" s="53"/>
      <c r="AD119" s="53"/>
      <c r="AE119" s="275">
        <v>750000</v>
      </c>
      <c r="AF119" s="53"/>
      <c r="AG119" s="47"/>
      <c r="AH119" s="53">
        <f t="shared" si="27"/>
        <v>750000</v>
      </c>
      <c r="AI119" s="51"/>
      <c r="AJ119" s="218">
        <f t="shared" si="19"/>
        <v>0</v>
      </c>
    </row>
    <row r="120" spans="1:36" s="36" customFormat="1" ht="15.75" x14ac:dyDescent="0.25">
      <c r="A120" s="113" t="s">
        <v>475</v>
      </c>
      <c r="B120" s="35" t="s">
        <v>538</v>
      </c>
      <c r="C120" s="52" t="s">
        <v>45</v>
      </c>
      <c r="D120" s="52" t="s">
        <v>45</v>
      </c>
      <c r="E120" s="35" t="s">
        <v>539</v>
      </c>
      <c r="F120" s="52" t="s">
        <v>623</v>
      </c>
      <c r="G120" s="52">
        <v>44593</v>
      </c>
      <c r="H120" s="52">
        <v>44653</v>
      </c>
      <c r="I120" s="50">
        <f t="shared" si="25"/>
        <v>60</v>
      </c>
      <c r="J120" s="52" t="s">
        <v>320</v>
      </c>
      <c r="K120" s="52"/>
      <c r="L120" s="52"/>
      <c r="M120" s="52"/>
      <c r="N120" s="50">
        <f t="shared" si="26"/>
        <v>0</v>
      </c>
      <c r="O120" s="50"/>
      <c r="P120" s="50"/>
      <c r="Q120" s="58">
        <v>14000000</v>
      </c>
      <c r="R120" s="115">
        <v>0</v>
      </c>
      <c r="S120" s="115">
        <v>0</v>
      </c>
      <c r="T120" s="115">
        <v>0</v>
      </c>
      <c r="U120" s="115">
        <v>0</v>
      </c>
      <c r="V120" s="115">
        <v>0</v>
      </c>
      <c r="W120" s="115">
        <v>0</v>
      </c>
      <c r="X120" s="115">
        <v>0</v>
      </c>
      <c r="Y120" s="115">
        <v>0</v>
      </c>
      <c r="Z120" s="115">
        <v>0</v>
      </c>
      <c r="AA120" s="53"/>
      <c r="AB120" s="53"/>
      <c r="AC120" s="53"/>
      <c r="AD120" s="53"/>
      <c r="AE120" s="275">
        <f>14000000-3000000</f>
        <v>11000000</v>
      </c>
      <c r="AF120" s="275">
        <v>3000000</v>
      </c>
      <c r="AG120" s="47"/>
      <c r="AH120" s="53">
        <f t="shared" si="27"/>
        <v>14000000</v>
      </c>
      <c r="AI120" s="51"/>
      <c r="AJ120" s="218">
        <f t="shared" si="19"/>
        <v>0</v>
      </c>
    </row>
    <row r="121" spans="1:36" s="36" customFormat="1" ht="15.75" x14ac:dyDescent="0.25">
      <c r="A121" s="113" t="s">
        <v>475</v>
      </c>
      <c r="B121" s="35" t="s">
        <v>703</v>
      </c>
      <c r="C121" s="52" t="s">
        <v>664</v>
      </c>
      <c r="D121" s="52" t="s">
        <v>45</v>
      </c>
      <c r="E121" s="35" t="s">
        <v>702</v>
      </c>
      <c r="F121" s="52" t="s">
        <v>623</v>
      </c>
      <c r="G121" s="52"/>
      <c r="H121" s="52"/>
      <c r="I121" s="50">
        <f t="shared" si="25"/>
        <v>0</v>
      </c>
      <c r="J121" s="52" t="s">
        <v>320</v>
      </c>
      <c r="K121" s="52"/>
      <c r="L121" s="52"/>
      <c r="M121" s="52"/>
      <c r="N121" s="50">
        <f t="shared" si="26"/>
        <v>0</v>
      </c>
      <c r="O121" s="50"/>
      <c r="P121" s="50"/>
      <c r="Q121" s="53">
        <v>1200000</v>
      </c>
      <c r="R121" s="115">
        <v>0</v>
      </c>
      <c r="S121" s="115">
        <v>0</v>
      </c>
      <c r="T121" s="115">
        <v>0</v>
      </c>
      <c r="U121" s="115">
        <v>0</v>
      </c>
      <c r="V121" s="115">
        <v>0</v>
      </c>
      <c r="W121" s="115">
        <v>0</v>
      </c>
      <c r="X121" s="115">
        <v>0</v>
      </c>
      <c r="Y121" s="115">
        <v>0</v>
      </c>
      <c r="Z121" s="115">
        <v>0</v>
      </c>
      <c r="AA121" s="53"/>
      <c r="AB121" s="53"/>
      <c r="AC121" s="53"/>
      <c r="AD121" s="53"/>
      <c r="AE121" s="275">
        <v>1200000</v>
      </c>
      <c r="AF121" s="53"/>
      <c r="AG121" s="47"/>
      <c r="AH121" s="53">
        <f t="shared" si="27"/>
        <v>1200000</v>
      </c>
      <c r="AI121" s="51"/>
      <c r="AJ121" s="218">
        <f t="shared" si="19"/>
        <v>0</v>
      </c>
    </row>
    <row r="122" spans="1:36" s="36" customFormat="1" ht="15.75" x14ac:dyDescent="0.25">
      <c r="A122" s="113" t="s">
        <v>475</v>
      </c>
      <c r="B122" s="35" t="s">
        <v>655</v>
      </c>
      <c r="C122" s="52" t="s">
        <v>45</v>
      </c>
      <c r="D122" s="52" t="s">
        <v>45</v>
      </c>
      <c r="E122" s="35"/>
      <c r="F122" s="52" t="s">
        <v>623</v>
      </c>
      <c r="G122" s="52"/>
      <c r="H122" s="52"/>
      <c r="I122" s="50">
        <f t="shared" si="25"/>
        <v>0</v>
      </c>
      <c r="J122" s="52" t="s">
        <v>320</v>
      </c>
      <c r="K122" s="52"/>
      <c r="L122" s="52"/>
      <c r="M122" s="52"/>
      <c r="N122" s="50">
        <f t="shared" si="26"/>
        <v>0</v>
      </c>
      <c r="O122" s="50"/>
      <c r="P122" s="50"/>
      <c r="Q122" s="53"/>
      <c r="R122" s="115">
        <v>0</v>
      </c>
      <c r="S122" s="115">
        <v>0</v>
      </c>
      <c r="T122" s="115">
        <v>0</v>
      </c>
      <c r="U122" s="115">
        <v>0</v>
      </c>
      <c r="V122" s="115">
        <v>0</v>
      </c>
      <c r="W122" s="115">
        <v>0</v>
      </c>
      <c r="X122" s="115">
        <v>0</v>
      </c>
      <c r="Y122" s="115">
        <v>0</v>
      </c>
      <c r="Z122" s="115">
        <v>0</v>
      </c>
      <c r="AA122" s="53"/>
      <c r="AB122" s="53"/>
      <c r="AC122" s="53"/>
      <c r="AD122" s="53"/>
      <c r="AE122" s="275"/>
      <c r="AF122" s="53"/>
      <c r="AG122" s="47"/>
      <c r="AH122" s="53">
        <f t="shared" si="27"/>
        <v>0</v>
      </c>
      <c r="AI122" s="51"/>
      <c r="AJ122" s="218">
        <f t="shared" si="19"/>
        <v>0</v>
      </c>
    </row>
    <row r="123" spans="1:36" s="36" customFormat="1" ht="15.75" x14ac:dyDescent="0.25">
      <c r="A123" s="104" t="s">
        <v>143</v>
      </c>
      <c r="B123" s="105" t="s">
        <v>145</v>
      </c>
      <c r="C123" s="52" t="s">
        <v>45</v>
      </c>
      <c r="D123" s="87" t="s">
        <v>45</v>
      </c>
      <c r="E123" s="105" t="s">
        <v>146</v>
      </c>
      <c r="F123" s="52" t="s">
        <v>623</v>
      </c>
      <c r="G123" s="87">
        <v>44357</v>
      </c>
      <c r="H123" s="347">
        <v>44411</v>
      </c>
      <c r="I123" s="50">
        <f t="shared" si="25"/>
        <v>54</v>
      </c>
      <c r="J123" s="52" t="s">
        <v>320</v>
      </c>
      <c r="K123" s="87">
        <v>44593</v>
      </c>
      <c r="L123" s="87">
        <v>44833.8</v>
      </c>
      <c r="M123" s="87"/>
      <c r="N123" s="50">
        <f t="shared" si="26"/>
        <v>8.0000000000000977</v>
      </c>
      <c r="O123" s="50"/>
      <c r="P123" s="88"/>
      <c r="Q123" s="58">
        <v>600000</v>
      </c>
      <c r="R123" s="115">
        <v>0</v>
      </c>
      <c r="S123" s="115">
        <v>0</v>
      </c>
      <c r="T123" s="115">
        <v>0</v>
      </c>
      <c r="U123" s="115">
        <v>0</v>
      </c>
      <c r="V123" s="115">
        <v>0</v>
      </c>
      <c r="W123" s="115">
        <v>0</v>
      </c>
      <c r="X123" s="115">
        <v>0</v>
      </c>
      <c r="Y123" s="115">
        <v>0</v>
      </c>
      <c r="Z123" s="115">
        <v>0</v>
      </c>
      <c r="AA123" s="58"/>
      <c r="AB123" s="275">
        <v>50000</v>
      </c>
      <c r="AC123" s="275">
        <v>100000</v>
      </c>
      <c r="AD123" s="275">
        <v>150000</v>
      </c>
      <c r="AE123" s="275">
        <v>300000</v>
      </c>
      <c r="AF123" s="53"/>
      <c r="AG123" s="47"/>
      <c r="AH123" s="53">
        <f t="shared" si="27"/>
        <v>600000</v>
      </c>
      <c r="AI123" s="51"/>
      <c r="AJ123" s="218">
        <f t="shared" si="19"/>
        <v>0</v>
      </c>
    </row>
    <row r="124" spans="1:36" s="36" customFormat="1" ht="15.75" x14ac:dyDescent="0.25">
      <c r="A124" s="104" t="s">
        <v>156</v>
      </c>
      <c r="B124" s="324" t="s">
        <v>157</v>
      </c>
      <c r="C124" s="87" t="s">
        <v>563</v>
      </c>
      <c r="D124" s="87" t="s">
        <v>704</v>
      </c>
      <c r="E124" s="65" t="s">
        <v>158</v>
      </c>
      <c r="F124" s="52" t="s">
        <v>623</v>
      </c>
      <c r="G124" s="87">
        <v>44449</v>
      </c>
      <c r="H124" s="347">
        <v>44463</v>
      </c>
      <c r="I124" s="50">
        <f t="shared" si="25"/>
        <v>14</v>
      </c>
      <c r="J124" s="52" t="s">
        <v>320</v>
      </c>
      <c r="K124" s="52">
        <v>44453</v>
      </c>
      <c r="L124" s="52">
        <v>44754</v>
      </c>
      <c r="M124" s="52"/>
      <c r="N124" s="50">
        <f t="shared" si="26"/>
        <v>10</v>
      </c>
      <c r="O124" s="50"/>
      <c r="P124" s="50"/>
      <c r="Q124" s="53">
        <v>1700000</v>
      </c>
      <c r="R124" s="115">
        <v>0</v>
      </c>
      <c r="S124" s="115">
        <v>0</v>
      </c>
      <c r="T124" s="115">
        <v>0</v>
      </c>
      <c r="U124" s="115">
        <v>0</v>
      </c>
      <c r="V124" s="115">
        <v>0</v>
      </c>
      <c r="W124" s="115">
        <v>0</v>
      </c>
      <c r="X124" s="115">
        <v>0</v>
      </c>
      <c r="Y124" s="115">
        <v>0</v>
      </c>
      <c r="Z124" s="115">
        <v>0</v>
      </c>
      <c r="AA124" s="275">
        <v>125000</v>
      </c>
      <c r="AB124" s="275">
        <v>200000</v>
      </c>
      <c r="AC124" s="275">
        <v>200000</v>
      </c>
      <c r="AD124" s="275">
        <v>200000</v>
      </c>
      <c r="AE124" s="275">
        <v>975000</v>
      </c>
      <c r="AF124" s="53"/>
      <c r="AG124" s="47"/>
      <c r="AH124" s="53">
        <f t="shared" si="27"/>
        <v>1700000</v>
      </c>
      <c r="AI124" s="51"/>
      <c r="AJ124" s="218">
        <f t="shared" si="19"/>
        <v>0</v>
      </c>
    </row>
    <row r="125" spans="1:36" s="36" customFormat="1" ht="15.75" x14ac:dyDescent="0.25">
      <c r="A125" s="104" t="s">
        <v>159</v>
      </c>
      <c r="B125" s="324" t="s">
        <v>428</v>
      </c>
      <c r="C125" s="87" t="s">
        <v>563</v>
      </c>
      <c r="D125" s="87" t="s">
        <v>704</v>
      </c>
      <c r="E125" s="65" t="s">
        <v>158</v>
      </c>
      <c r="F125" s="52" t="s">
        <v>623</v>
      </c>
      <c r="G125" s="87">
        <v>44386</v>
      </c>
      <c r="H125" s="347">
        <v>44431</v>
      </c>
      <c r="I125" s="50">
        <f t="shared" si="25"/>
        <v>45</v>
      </c>
      <c r="J125" s="52" t="s">
        <v>320</v>
      </c>
      <c r="K125" s="52">
        <v>44461</v>
      </c>
      <c r="L125" s="52">
        <v>44701.8</v>
      </c>
      <c r="M125" s="52"/>
      <c r="N125" s="50">
        <f t="shared" si="26"/>
        <v>8.0000000000000977</v>
      </c>
      <c r="O125" s="50"/>
      <c r="P125" s="50"/>
      <c r="Q125" s="53">
        <v>225000</v>
      </c>
      <c r="R125" s="115">
        <v>0</v>
      </c>
      <c r="S125" s="115">
        <v>0</v>
      </c>
      <c r="T125" s="115">
        <v>0</v>
      </c>
      <c r="U125" s="115">
        <v>0</v>
      </c>
      <c r="V125" s="115">
        <v>0</v>
      </c>
      <c r="W125" s="115">
        <v>0</v>
      </c>
      <c r="X125" s="115">
        <v>0</v>
      </c>
      <c r="Y125" s="115">
        <v>0</v>
      </c>
      <c r="Z125" s="115">
        <v>0</v>
      </c>
      <c r="AA125" s="58"/>
      <c r="AB125" s="275">
        <v>50000</v>
      </c>
      <c r="AC125" s="275">
        <v>50000</v>
      </c>
      <c r="AD125" s="275">
        <v>50000</v>
      </c>
      <c r="AE125" s="275">
        <v>75000</v>
      </c>
      <c r="AF125" s="53"/>
      <c r="AG125" s="47"/>
      <c r="AH125" s="53">
        <f t="shared" si="27"/>
        <v>225000</v>
      </c>
      <c r="AI125" s="51"/>
      <c r="AJ125" s="218">
        <f t="shared" si="19"/>
        <v>0</v>
      </c>
    </row>
    <row r="126" spans="1:36" s="36" customFormat="1" ht="15.75" x14ac:dyDescent="0.25">
      <c r="A126" s="104" t="s">
        <v>394</v>
      </c>
      <c r="B126" s="65" t="s">
        <v>580</v>
      </c>
      <c r="C126" s="52" t="s">
        <v>45</v>
      </c>
      <c r="D126" s="87" t="s">
        <v>45</v>
      </c>
      <c r="E126" s="65" t="s">
        <v>149</v>
      </c>
      <c r="F126" s="52" t="s">
        <v>623</v>
      </c>
      <c r="G126" s="87">
        <v>44386</v>
      </c>
      <c r="H126" s="87">
        <v>44470</v>
      </c>
      <c r="I126" s="50">
        <f t="shared" si="25"/>
        <v>84</v>
      </c>
      <c r="J126" s="52" t="s">
        <v>320</v>
      </c>
      <c r="K126" s="52">
        <v>44593</v>
      </c>
      <c r="L126" s="52">
        <v>44833.8</v>
      </c>
      <c r="M126" s="52"/>
      <c r="N126" s="50">
        <f t="shared" si="26"/>
        <v>8.0000000000000977</v>
      </c>
      <c r="O126" s="50"/>
      <c r="P126" s="50"/>
      <c r="Q126" s="53">
        <v>750000</v>
      </c>
      <c r="R126" s="115">
        <v>0</v>
      </c>
      <c r="S126" s="115">
        <v>0</v>
      </c>
      <c r="T126" s="115">
        <v>0</v>
      </c>
      <c r="U126" s="115">
        <v>0</v>
      </c>
      <c r="V126" s="115">
        <v>0</v>
      </c>
      <c r="W126" s="115">
        <v>0</v>
      </c>
      <c r="X126" s="115">
        <v>0</v>
      </c>
      <c r="Y126" s="115">
        <v>0</v>
      </c>
      <c r="Z126" s="115">
        <v>0</v>
      </c>
      <c r="AA126" s="275">
        <v>150000</v>
      </c>
      <c r="AB126" s="275">
        <v>150000</v>
      </c>
      <c r="AC126" s="275">
        <v>150000</v>
      </c>
      <c r="AD126" s="275">
        <v>150000</v>
      </c>
      <c r="AE126" s="275">
        <v>150000</v>
      </c>
      <c r="AF126" s="53"/>
      <c r="AG126" s="47"/>
      <c r="AH126" s="53">
        <f t="shared" si="27"/>
        <v>750000</v>
      </c>
      <c r="AI126" s="51"/>
      <c r="AJ126" s="218">
        <f t="shared" si="19"/>
        <v>0</v>
      </c>
    </row>
    <row r="127" spans="1:36" s="36" customFormat="1" ht="15.75" x14ac:dyDescent="0.25">
      <c r="A127" s="113" t="s">
        <v>228</v>
      </c>
      <c r="B127" s="56" t="s">
        <v>579</v>
      </c>
      <c r="C127" s="52" t="s">
        <v>45</v>
      </c>
      <c r="D127" s="87" t="s">
        <v>45</v>
      </c>
      <c r="E127" s="56" t="s">
        <v>230</v>
      </c>
      <c r="F127" s="52" t="s">
        <v>623</v>
      </c>
      <c r="G127" s="87">
        <v>44383</v>
      </c>
      <c r="H127" s="347">
        <v>44466</v>
      </c>
      <c r="I127" s="50">
        <f t="shared" si="25"/>
        <v>83</v>
      </c>
      <c r="J127" s="52" t="s">
        <v>320</v>
      </c>
      <c r="K127" s="52"/>
      <c r="L127" s="52"/>
      <c r="M127" s="52"/>
      <c r="N127" s="50">
        <f t="shared" si="26"/>
        <v>0</v>
      </c>
      <c r="O127" s="50"/>
      <c r="P127" s="52"/>
      <c r="Q127" s="53">
        <v>2229000</v>
      </c>
      <c r="R127" s="115">
        <v>0</v>
      </c>
      <c r="S127" s="115">
        <v>0</v>
      </c>
      <c r="T127" s="115">
        <v>0</v>
      </c>
      <c r="U127" s="115">
        <v>0</v>
      </c>
      <c r="V127" s="115">
        <v>0</v>
      </c>
      <c r="W127" s="115">
        <v>0</v>
      </c>
      <c r="X127" s="115">
        <v>0</v>
      </c>
      <c r="Y127" s="115">
        <v>0</v>
      </c>
      <c r="Z127" s="115">
        <v>0</v>
      </c>
      <c r="AA127" s="58"/>
      <c r="AB127" s="58"/>
      <c r="AC127" s="58"/>
      <c r="AD127" s="58"/>
      <c r="AE127" s="275">
        <v>2229000</v>
      </c>
      <c r="AF127" s="53"/>
      <c r="AG127" s="47"/>
      <c r="AH127" s="53">
        <f t="shared" si="27"/>
        <v>2229000</v>
      </c>
      <c r="AI127" s="51"/>
      <c r="AJ127" s="218">
        <f t="shared" si="19"/>
        <v>0</v>
      </c>
    </row>
    <row r="128" spans="1:36" s="36" customFormat="1" ht="15.75" x14ac:dyDescent="0.25">
      <c r="A128" s="113" t="s">
        <v>578</v>
      </c>
      <c r="B128" s="35" t="s">
        <v>443</v>
      </c>
      <c r="C128" s="52" t="s">
        <v>45</v>
      </c>
      <c r="D128" s="87" t="s">
        <v>45</v>
      </c>
      <c r="E128" s="56" t="s">
        <v>230</v>
      </c>
      <c r="F128" s="52" t="s">
        <v>623</v>
      </c>
      <c r="G128" s="87">
        <v>44470</v>
      </c>
      <c r="H128" s="87">
        <v>44515</v>
      </c>
      <c r="I128" s="50">
        <f t="shared" si="25"/>
        <v>45</v>
      </c>
      <c r="J128" s="52" t="s">
        <v>320</v>
      </c>
      <c r="K128" s="52"/>
      <c r="L128" s="52"/>
      <c r="M128" s="52"/>
      <c r="N128" s="50">
        <f t="shared" si="26"/>
        <v>0</v>
      </c>
      <c r="O128" s="50"/>
      <c r="P128" s="50"/>
      <c r="Q128" s="53">
        <v>360000</v>
      </c>
      <c r="R128" s="115">
        <v>0</v>
      </c>
      <c r="S128" s="115">
        <v>0</v>
      </c>
      <c r="T128" s="115">
        <v>0</v>
      </c>
      <c r="U128" s="115">
        <v>0</v>
      </c>
      <c r="V128" s="115">
        <v>0</v>
      </c>
      <c r="W128" s="115">
        <v>0</v>
      </c>
      <c r="X128" s="115">
        <v>0</v>
      </c>
      <c r="Y128" s="115">
        <v>0</v>
      </c>
      <c r="Z128" s="115">
        <v>0</v>
      </c>
      <c r="AA128" s="53"/>
      <c r="AB128" s="53"/>
      <c r="AC128" s="53"/>
      <c r="AD128" s="53"/>
      <c r="AE128" s="275">
        <v>360000</v>
      </c>
      <c r="AF128" s="53"/>
      <c r="AG128" s="47"/>
      <c r="AH128" s="53">
        <f t="shared" si="27"/>
        <v>360000</v>
      </c>
      <c r="AI128" s="51"/>
      <c r="AJ128" s="218">
        <f t="shared" si="19"/>
        <v>0</v>
      </c>
    </row>
    <row r="129" spans="1:37" s="36" customFormat="1" ht="15.75" x14ac:dyDescent="0.25">
      <c r="A129" s="113" t="s">
        <v>735</v>
      </c>
      <c r="B129" s="35" t="s">
        <v>736</v>
      </c>
      <c r="C129" s="52" t="s">
        <v>45</v>
      </c>
      <c r="D129" s="87" t="s">
        <v>45</v>
      </c>
      <c r="E129" s="57" t="s">
        <v>149</v>
      </c>
      <c r="F129" s="52"/>
      <c r="G129" s="87"/>
      <c r="H129" s="87"/>
      <c r="I129" s="50"/>
      <c r="J129" s="52" t="s">
        <v>320</v>
      </c>
      <c r="K129" s="52"/>
      <c r="L129" s="52"/>
      <c r="M129" s="52"/>
      <c r="N129" s="50"/>
      <c r="O129" s="50"/>
      <c r="P129" s="50"/>
      <c r="Q129" s="53"/>
      <c r="R129" s="115">
        <v>0</v>
      </c>
      <c r="S129" s="115">
        <v>0</v>
      </c>
      <c r="T129" s="115">
        <v>0</v>
      </c>
      <c r="U129" s="115">
        <v>0</v>
      </c>
      <c r="V129" s="115">
        <v>0</v>
      </c>
      <c r="W129" s="115">
        <v>0</v>
      </c>
      <c r="X129" s="115">
        <v>0</v>
      </c>
      <c r="Y129" s="115">
        <v>0</v>
      </c>
      <c r="Z129" s="115">
        <v>0</v>
      </c>
      <c r="AA129" s="53"/>
      <c r="AB129" s="53"/>
      <c r="AC129" s="53"/>
      <c r="AD129" s="53"/>
      <c r="AE129" s="275"/>
      <c r="AF129" s="53"/>
      <c r="AG129" s="47"/>
      <c r="AH129" s="53"/>
      <c r="AI129" s="51"/>
      <c r="AJ129" s="218">
        <f t="shared" si="19"/>
        <v>0</v>
      </c>
    </row>
    <row r="130" spans="1:37" s="36" customFormat="1" ht="15.75" x14ac:dyDescent="0.25">
      <c r="A130" s="113" t="s">
        <v>737</v>
      </c>
      <c r="B130" s="35" t="s">
        <v>739</v>
      </c>
      <c r="C130" s="52" t="s">
        <v>45</v>
      </c>
      <c r="D130" s="87" t="s">
        <v>45</v>
      </c>
      <c r="E130" s="57" t="s">
        <v>149</v>
      </c>
      <c r="F130" s="52"/>
      <c r="G130" s="87"/>
      <c r="H130" s="87"/>
      <c r="I130" s="50"/>
      <c r="J130" s="52" t="s">
        <v>320</v>
      </c>
      <c r="K130" s="52"/>
      <c r="L130" s="52"/>
      <c r="M130" s="52"/>
      <c r="N130" s="50"/>
      <c r="O130" s="50"/>
      <c r="P130" s="50"/>
      <c r="Q130" s="53"/>
      <c r="R130" s="115">
        <v>0</v>
      </c>
      <c r="S130" s="115">
        <v>0</v>
      </c>
      <c r="T130" s="115">
        <v>0</v>
      </c>
      <c r="U130" s="115">
        <v>0</v>
      </c>
      <c r="V130" s="115">
        <v>0</v>
      </c>
      <c r="W130" s="115">
        <v>0</v>
      </c>
      <c r="X130" s="115">
        <v>0</v>
      </c>
      <c r="Y130" s="115">
        <v>0</v>
      </c>
      <c r="Z130" s="115">
        <v>0</v>
      </c>
      <c r="AA130" s="53"/>
      <c r="AB130" s="53"/>
      <c r="AC130" s="53"/>
      <c r="AD130" s="53"/>
      <c r="AE130" s="275"/>
      <c r="AF130" s="53"/>
      <c r="AG130" s="47"/>
      <c r="AH130" s="53"/>
      <c r="AI130" s="51"/>
      <c r="AJ130" s="218">
        <f t="shared" si="19"/>
        <v>0</v>
      </c>
    </row>
    <row r="131" spans="1:37" s="36" customFormat="1" ht="15.75" x14ac:dyDescent="0.25">
      <c r="A131" s="113" t="s">
        <v>738</v>
      </c>
      <c r="B131" s="35" t="s">
        <v>739</v>
      </c>
      <c r="C131" s="52" t="s">
        <v>45</v>
      </c>
      <c r="D131" s="87" t="s">
        <v>45</v>
      </c>
      <c r="E131" s="57" t="s">
        <v>149</v>
      </c>
      <c r="F131" s="52"/>
      <c r="G131" s="87"/>
      <c r="H131" s="87"/>
      <c r="I131" s="50"/>
      <c r="J131" s="52" t="s">
        <v>320</v>
      </c>
      <c r="K131" s="52"/>
      <c r="L131" s="52"/>
      <c r="M131" s="52"/>
      <c r="N131" s="50"/>
      <c r="O131" s="50"/>
      <c r="P131" s="50"/>
      <c r="Q131" s="53"/>
      <c r="R131" s="115">
        <v>0</v>
      </c>
      <c r="S131" s="115">
        <v>0</v>
      </c>
      <c r="T131" s="115">
        <v>0</v>
      </c>
      <c r="U131" s="115">
        <v>0</v>
      </c>
      <c r="V131" s="115">
        <v>0</v>
      </c>
      <c r="W131" s="115">
        <v>0</v>
      </c>
      <c r="X131" s="115">
        <v>0</v>
      </c>
      <c r="Y131" s="115">
        <v>0</v>
      </c>
      <c r="Z131" s="115">
        <v>0</v>
      </c>
      <c r="AA131" s="53"/>
      <c r="AB131" s="53"/>
      <c r="AC131" s="53"/>
      <c r="AD131" s="53"/>
      <c r="AE131" s="275"/>
      <c r="AF131" s="53"/>
      <c r="AG131" s="47"/>
      <c r="AH131" s="53"/>
      <c r="AI131" s="51"/>
      <c r="AJ131" s="218">
        <f t="shared" si="19"/>
        <v>0</v>
      </c>
    </row>
    <row r="132" spans="1:37" s="36" customFormat="1" ht="15.75" x14ac:dyDescent="0.25">
      <c r="A132" s="99"/>
      <c r="B132" s="100"/>
      <c r="C132" s="91"/>
      <c r="D132" s="91"/>
      <c r="E132" s="100"/>
      <c r="F132" s="91"/>
      <c r="G132" s="91"/>
      <c r="H132" s="91"/>
      <c r="I132" s="92"/>
      <c r="J132" s="91"/>
      <c r="K132" s="91"/>
      <c r="L132" s="91"/>
      <c r="M132" s="91"/>
      <c r="N132" s="92"/>
      <c r="O132" s="92"/>
      <c r="P132" s="92"/>
      <c r="Q132" s="59">
        <f>SUM(Q88:Q131)</f>
        <v>54805107</v>
      </c>
      <c r="R132" s="59">
        <f t="shared" ref="R132:AF132" si="28">SUM(R88:R131)</f>
        <v>0</v>
      </c>
      <c r="S132" s="59">
        <f t="shared" si="28"/>
        <v>0</v>
      </c>
      <c r="T132" s="59">
        <f t="shared" si="28"/>
        <v>0</v>
      </c>
      <c r="U132" s="59">
        <f t="shared" si="28"/>
        <v>0</v>
      </c>
      <c r="V132" s="59">
        <f t="shared" si="28"/>
        <v>0</v>
      </c>
      <c r="W132" s="59">
        <f t="shared" si="28"/>
        <v>0</v>
      </c>
      <c r="X132" s="59">
        <f t="shared" si="28"/>
        <v>0</v>
      </c>
      <c r="Y132" s="59">
        <f t="shared" si="28"/>
        <v>0</v>
      </c>
      <c r="Z132" s="59">
        <f t="shared" si="28"/>
        <v>0</v>
      </c>
      <c r="AA132" s="59">
        <f t="shared" si="28"/>
        <v>300000</v>
      </c>
      <c r="AB132" s="59">
        <f t="shared" si="28"/>
        <v>480000</v>
      </c>
      <c r="AC132" s="59">
        <f t="shared" si="28"/>
        <v>777107</v>
      </c>
      <c r="AD132" s="59">
        <f t="shared" si="28"/>
        <v>1700000</v>
      </c>
      <c r="AE132" s="59">
        <f t="shared" si="28"/>
        <v>48548000</v>
      </c>
      <c r="AF132" s="59">
        <f t="shared" si="28"/>
        <v>3000000</v>
      </c>
      <c r="AG132" s="47"/>
      <c r="AH132" s="53">
        <f>SUM(R132:AG132)</f>
        <v>54805107</v>
      </c>
      <c r="AI132" s="51"/>
      <c r="AJ132" s="218">
        <f t="shared" si="19"/>
        <v>0</v>
      </c>
      <c r="AK132" s="55"/>
    </row>
    <row r="133" spans="1:37" s="36" customFormat="1" ht="15.75" x14ac:dyDescent="0.25">
      <c r="A133" s="106" t="s">
        <v>582</v>
      </c>
      <c r="B133" s="107"/>
      <c r="C133" s="101"/>
      <c r="D133" s="102"/>
      <c r="E133" s="107"/>
      <c r="F133" s="102"/>
      <c r="G133" s="276"/>
      <c r="H133" s="276"/>
      <c r="I133" s="84"/>
      <c r="J133" s="102"/>
      <c r="K133" s="102"/>
      <c r="L133" s="102"/>
      <c r="M133" s="102"/>
      <c r="N133" s="84"/>
      <c r="O133" s="84"/>
      <c r="P133" s="84"/>
      <c r="Q133" s="193"/>
      <c r="R133" s="85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47"/>
      <c r="AH133" s="85"/>
      <c r="AI133" s="51"/>
      <c r="AJ133" s="218">
        <f t="shared" ref="AJ133:AJ154" si="29">AH133-Q133</f>
        <v>0</v>
      </c>
    </row>
    <row r="134" spans="1:37" s="36" customFormat="1" ht="15.75" x14ac:dyDescent="0.25">
      <c r="A134" s="34" t="s">
        <v>430</v>
      </c>
      <c r="B134" s="34" t="s">
        <v>431</v>
      </c>
      <c r="C134" s="52" t="s">
        <v>581</v>
      </c>
      <c r="D134" s="52" t="s">
        <v>581</v>
      </c>
      <c r="E134" s="52" t="s">
        <v>581</v>
      </c>
      <c r="F134" s="52" t="s">
        <v>581</v>
      </c>
      <c r="G134" s="52" t="s">
        <v>581</v>
      </c>
      <c r="H134" s="52" t="s">
        <v>581</v>
      </c>
      <c r="I134" s="52" t="s">
        <v>581</v>
      </c>
      <c r="J134" s="52" t="s">
        <v>320</v>
      </c>
      <c r="K134" s="52" t="s">
        <v>581</v>
      </c>
      <c r="L134" s="52" t="s">
        <v>581</v>
      </c>
      <c r="M134" s="52"/>
      <c r="N134" s="52" t="s">
        <v>581</v>
      </c>
      <c r="O134" s="52" t="s">
        <v>581</v>
      </c>
      <c r="P134" s="52" t="s">
        <v>581</v>
      </c>
      <c r="Q134" s="182">
        <v>137906</v>
      </c>
      <c r="R134" s="115">
        <v>61092</v>
      </c>
      <c r="S134" s="115">
        <v>0</v>
      </c>
      <c r="T134" s="115">
        <v>0</v>
      </c>
      <c r="U134" s="115">
        <v>0</v>
      </c>
      <c r="V134" s="115">
        <v>73311</v>
      </c>
      <c r="W134" s="115">
        <v>0</v>
      </c>
      <c r="X134" s="115">
        <v>0</v>
      </c>
      <c r="Y134" s="115">
        <v>3503</v>
      </c>
      <c r="Z134" s="58"/>
      <c r="AA134" s="58"/>
      <c r="AB134" s="58"/>
      <c r="AC134" s="58"/>
      <c r="AD134" s="58"/>
      <c r="AE134" s="58"/>
      <c r="AF134" s="53"/>
      <c r="AG134" s="47"/>
      <c r="AH134" s="53">
        <f t="shared" ref="AH134:AH152" si="30">SUM(R134:AG134)</f>
        <v>137906</v>
      </c>
      <c r="AI134" s="51"/>
      <c r="AJ134" s="218">
        <f t="shared" si="29"/>
        <v>0</v>
      </c>
    </row>
    <row r="135" spans="1:37" s="36" customFormat="1" ht="15.75" x14ac:dyDescent="0.25">
      <c r="A135" s="60" t="s">
        <v>432</v>
      </c>
      <c r="B135" s="61" t="s">
        <v>433</v>
      </c>
      <c r="C135" s="52" t="s">
        <v>581</v>
      </c>
      <c r="D135" s="52" t="s">
        <v>581</v>
      </c>
      <c r="E135" s="52" t="s">
        <v>581</v>
      </c>
      <c r="F135" s="52" t="s">
        <v>581</v>
      </c>
      <c r="G135" s="52" t="s">
        <v>581</v>
      </c>
      <c r="H135" s="52" t="s">
        <v>581</v>
      </c>
      <c r="I135" s="52" t="s">
        <v>581</v>
      </c>
      <c r="J135" s="52" t="s">
        <v>320</v>
      </c>
      <c r="K135" s="52" t="s">
        <v>581</v>
      </c>
      <c r="L135" s="52" t="s">
        <v>581</v>
      </c>
      <c r="M135" s="87"/>
      <c r="N135" s="52" t="s">
        <v>581</v>
      </c>
      <c r="O135" s="52" t="s">
        <v>581</v>
      </c>
      <c r="P135" s="52" t="s">
        <v>581</v>
      </c>
      <c r="Q135" s="182">
        <v>136537</v>
      </c>
      <c r="R135" s="115">
        <v>61092</v>
      </c>
      <c r="S135" s="115">
        <v>0</v>
      </c>
      <c r="T135" s="115">
        <v>0</v>
      </c>
      <c r="U135" s="115">
        <v>0</v>
      </c>
      <c r="V135" s="115">
        <v>73311</v>
      </c>
      <c r="W135" s="115">
        <v>0</v>
      </c>
      <c r="X135" s="115">
        <v>0</v>
      </c>
      <c r="Y135" s="115">
        <v>2134</v>
      </c>
      <c r="Z135" s="58"/>
      <c r="AA135" s="58"/>
      <c r="AB135" s="58"/>
      <c r="AC135" s="58"/>
      <c r="AD135" s="58"/>
      <c r="AE135" s="58"/>
      <c r="AF135" s="53"/>
      <c r="AG135" s="47"/>
      <c r="AH135" s="53">
        <f t="shared" si="30"/>
        <v>136537</v>
      </c>
      <c r="AI135" s="51"/>
      <c r="AJ135" s="218">
        <f t="shared" si="29"/>
        <v>0</v>
      </c>
    </row>
    <row r="136" spans="1:37" s="36" customFormat="1" ht="15.75" x14ac:dyDescent="0.25">
      <c r="A136" s="111" t="s">
        <v>558</v>
      </c>
      <c r="B136" s="112" t="s">
        <v>641</v>
      </c>
      <c r="C136" s="341" t="s">
        <v>563</v>
      </c>
      <c r="D136" s="341" t="s">
        <v>671</v>
      </c>
      <c r="E136" s="310" t="s">
        <v>319</v>
      </c>
      <c r="F136" s="310" t="s">
        <v>319</v>
      </c>
      <c r="G136" s="310" t="s">
        <v>319</v>
      </c>
      <c r="H136" s="310" t="s">
        <v>319</v>
      </c>
      <c r="I136" s="310" t="s">
        <v>319</v>
      </c>
      <c r="J136" s="52" t="s">
        <v>320</v>
      </c>
      <c r="K136" s="310" t="s">
        <v>319</v>
      </c>
      <c r="L136" s="310" t="s">
        <v>319</v>
      </c>
      <c r="M136" s="87"/>
      <c r="N136" s="310" t="s">
        <v>319</v>
      </c>
      <c r="O136" s="310" t="s">
        <v>319</v>
      </c>
      <c r="P136" s="310" t="s">
        <v>319</v>
      </c>
      <c r="Q136" s="306">
        <v>0</v>
      </c>
      <c r="R136" s="115">
        <v>0</v>
      </c>
      <c r="S136" s="115">
        <v>0</v>
      </c>
      <c r="T136" s="115">
        <v>0</v>
      </c>
      <c r="U136" s="115">
        <v>0</v>
      </c>
      <c r="V136" s="115">
        <v>0</v>
      </c>
      <c r="W136" s="115">
        <v>0</v>
      </c>
      <c r="X136" s="115">
        <v>0</v>
      </c>
      <c r="Y136" s="115">
        <v>0</v>
      </c>
      <c r="Z136" s="58"/>
      <c r="AA136" s="58"/>
      <c r="AB136" s="58"/>
      <c r="AC136" s="58"/>
      <c r="AD136" s="58"/>
      <c r="AE136" s="58"/>
      <c r="AF136" s="53"/>
      <c r="AG136" s="47"/>
      <c r="AH136" s="53">
        <f>SUM(R136:AG136)</f>
        <v>0</v>
      </c>
      <c r="AI136" s="51"/>
      <c r="AJ136" s="218">
        <f t="shared" si="29"/>
        <v>0</v>
      </c>
    </row>
    <row r="137" spans="1:37" s="36" customFormat="1" ht="15.75" x14ac:dyDescent="0.25">
      <c r="A137" s="60" t="s">
        <v>161</v>
      </c>
      <c r="B137" s="61" t="s">
        <v>163</v>
      </c>
      <c r="C137" s="52" t="s">
        <v>165</v>
      </c>
      <c r="D137" s="52" t="s">
        <v>165</v>
      </c>
      <c r="E137" s="52" t="s">
        <v>165</v>
      </c>
      <c r="F137" s="52" t="s">
        <v>165</v>
      </c>
      <c r="G137" s="52" t="s">
        <v>165</v>
      </c>
      <c r="H137" s="52" t="s">
        <v>165</v>
      </c>
      <c r="I137" s="52" t="s">
        <v>165</v>
      </c>
      <c r="J137" s="52" t="s">
        <v>320</v>
      </c>
      <c r="K137" s="52" t="s">
        <v>165</v>
      </c>
      <c r="L137" s="52" t="s">
        <v>165</v>
      </c>
      <c r="M137" s="87"/>
      <c r="N137" s="52" t="s">
        <v>165</v>
      </c>
      <c r="O137" s="52" t="s">
        <v>165</v>
      </c>
      <c r="P137" s="52" t="s">
        <v>165</v>
      </c>
      <c r="Q137" s="86">
        <v>0</v>
      </c>
      <c r="R137" s="115">
        <v>0</v>
      </c>
      <c r="S137" s="115">
        <v>0</v>
      </c>
      <c r="T137" s="115">
        <v>0</v>
      </c>
      <c r="U137" s="115">
        <v>0</v>
      </c>
      <c r="V137" s="115">
        <v>0</v>
      </c>
      <c r="W137" s="115">
        <v>0</v>
      </c>
      <c r="X137" s="115">
        <v>0</v>
      </c>
      <c r="Y137" s="115">
        <v>0</v>
      </c>
      <c r="Z137" s="58"/>
      <c r="AA137" s="58"/>
      <c r="AB137" s="58"/>
      <c r="AC137" s="58"/>
      <c r="AD137" s="58"/>
      <c r="AE137" s="58"/>
      <c r="AF137" s="53"/>
      <c r="AG137" s="47"/>
      <c r="AH137" s="53">
        <f t="shared" si="30"/>
        <v>0</v>
      </c>
      <c r="AI137" s="51"/>
      <c r="AJ137" s="218">
        <f t="shared" si="29"/>
        <v>0</v>
      </c>
    </row>
    <row r="138" spans="1:37" s="36" customFormat="1" ht="15.75" x14ac:dyDescent="0.25">
      <c r="A138" s="111" t="s">
        <v>82</v>
      </c>
      <c r="B138" s="112" t="s">
        <v>532</v>
      </c>
      <c r="C138" s="52" t="s">
        <v>165</v>
      </c>
      <c r="D138" s="52" t="s">
        <v>165</v>
      </c>
      <c r="E138" s="340" t="s">
        <v>451</v>
      </c>
      <c r="F138" s="52" t="s">
        <v>165</v>
      </c>
      <c r="G138" s="341">
        <v>44107</v>
      </c>
      <c r="H138" s="341">
        <v>44279</v>
      </c>
      <c r="I138" s="342">
        <f>H138-G138</f>
        <v>172</v>
      </c>
      <c r="J138" s="87" t="s">
        <v>370</v>
      </c>
      <c r="K138" s="341">
        <v>44389</v>
      </c>
      <c r="L138" s="341">
        <v>44569.599999999999</v>
      </c>
      <c r="M138" s="87"/>
      <c r="N138" s="52" t="s">
        <v>165</v>
      </c>
      <c r="O138" s="52" t="s">
        <v>165</v>
      </c>
      <c r="P138" s="52" t="s">
        <v>165</v>
      </c>
      <c r="Q138" s="86">
        <v>0</v>
      </c>
      <c r="R138" s="115">
        <v>0</v>
      </c>
      <c r="S138" s="115">
        <v>0</v>
      </c>
      <c r="T138" s="115">
        <v>0</v>
      </c>
      <c r="U138" s="115">
        <v>0</v>
      </c>
      <c r="V138" s="115">
        <v>0</v>
      </c>
      <c r="W138" s="115">
        <v>33274</v>
      </c>
      <c r="X138" s="115">
        <v>0</v>
      </c>
      <c r="Y138" s="115">
        <v>0</v>
      </c>
      <c r="Z138" s="58"/>
      <c r="AA138" s="58"/>
      <c r="AB138" s="58"/>
      <c r="AC138" s="58"/>
      <c r="AD138" s="58"/>
      <c r="AE138" s="58"/>
      <c r="AF138" s="53"/>
      <c r="AG138" s="47"/>
      <c r="AH138" s="53">
        <f>SUM(R138:AG138)</f>
        <v>33274</v>
      </c>
      <c r="AI138" s="51"/>
      <c r="AJ138" s="218">
        <f t="shared" si="29"/>
        <v>33274</v>
      </c>
    </row>
    <row r="139" spans="1:37" s="36" customFormat="1" ht="15.75" x14ac:dyDescent="0.25">
      <c r="A139" s="244" t="s">
        <v>298</v>
      </c>
      <c r="B139" s="272" t="s">
        <v>299</v>
      </c>
      <c r="C139" s="341" t="s">
        <v>563</v>
      </c>
      <c r="D139" s="341" t="s">
        <v>671</v>
      </c>
      <c r="E139" s="310" t="s">
        <v>319</v>
      </c>
      <c r="F139" s="310" t="s">
        <v>319</v>
      </c>
      <c r="G139" s="310" t="s">
        <v>319</v>
      </c>
      <c r="H139" s="310" t="s">
        <v>319</v>
      </c>
      <c r="I139" s="310" t="s">
        <v>319</v>
      </c>
      <c r="J139" s="52" t="s">
        <v>320</v>
      </c>
      <c r="K139" s="310" t="s">
        <v>319</v>
      </c>
      <c r="L139" s="310" t="s">
        <v>319</v>
      </c>
      <c r="M139" s="87"/>
      <c r="N139" s="310" t="s">
        <v>319</v>
      </c>
      <c r="O139" s="310" t="s">
        <v>319</v>
      </c>
      <c r="P139" s="310" t="s">
        <v>319</v>
      </c>
      <c r="Q139" s="306">
        <v>0</v>
      </c>
      <c r="R139" s="115">
        <v>0</v>
      </c>
      <c r="S139" s="115">
        <v>0</v>
      </c>
      <c r="T139" s="115">
        <v>0</v>
      </c>
      <c r="U139" s="115">
        <v>0</v>
      </c>
      <c r="V139" s="242">
        <v>0</v>
      </c>
      <c r="W139" s="115">
        <v>0</v>
      </c>
      <c r="X139" s="115">
        <v>0</v>
      </c>
      <c r="Y139" s="115">
        <v>0</v>
      </c>
      <c r="Z139" s="53"/>
      <c r="AA139" s="53"/>
      <c r="AB139" s="53"/>
      <c r="AC139" s="53"/>
      <c r="AD139" s="53"/>
      <c r="AE139" s="53"/>
      <c r="AF139" s="53"/>
      <c r="AG139" s="47"/>
      <c r="AH139" s="53">
        <f>SUM(R139:AG139)</f>
        <v>0</v>
      </c>
      <c r="AI139" s="51"/>
      <c r="AJ139" s="218">
        <f t="shared" si="29"/>
        <v>0</v>
      </c>
    </row>
    <row r="140" spans="1:37" s="36" customFormat="1" ht="15.75" x14ac:dyDescent="0.25">
      <c r="A140" s="244" t="s">
        <v>316</v>
      </c>
      <c r="B140" s="244" t="s">
        <v>435</v>
      </c>
      <c r="C140" s="52" t="s">
        <v>319</v>
      </c>
      <c r="D140" s="52" t="s">
        <v>319</v>
      </c>
      <c r="E140" s="52" t="s">
        <v>319</v>
      </c>
      <c r="F140" s="52" t="s">
        <v>319</v>
      </c>
      <c r="G140" s="52" t="s">
        <v>319</v>
      </c>
      <c r="H140" s="52" t="s">
        <v>319</v>
      </c>
      <c r="I140" s="52" t="s">
        <v>319</v>
      </c>
      <c r="J140" s="52" t="s">
        <v>320</v>
      </c>
      <c r="K140" s="52" t="s">
        <v>319</v>
      </c>
      <c r="L140" s="52" t="s">
        <v>319</v>
      </c>
      <c r="M140" s="87"/>
      <c r="N140" s="52" t="s">
        <v>319</v>
      </c>
      <c r="O140" s="52" t="s">
        <v>319</v>
      </c>
      <c r="P140" s="52" t="s">
        <v>319</v>
      </c>
      <c r="Q140" s="182">
        <v>461956</v>
      </c>
      <c r="R140" s="115">
        <v>0</v>
      </c>
      <c r="S140" s="115">
        <v>353138</v>
      </c>
      <c r="T140" s="115">
        <v>108818</v>
      </c>
      <c r="U140" s="115">
        <v>0</v>
      </c>
      <c r="V140" s="115">
        <v>0</v>
      </c>
      <c r="W140" s="115">
        <v>0</v>
      </c>
      <c r="X140" s="115">
        <v>0</v>
      </c>
      <c r="Y140" s="115">
        <v>0</v>
      </c>
      <c r="Z140" s="53"/>
      <c r="AA140" s="53"/>
      <c r="AB140" s="53"/>
      <c r="AC140" s="53"/>
      <c r="AD140" s="53"/>
      <c r="AE140" s="53"/>
      <c r="AF140" s="53"/>
      <c r="AG140" s="47"/>
      <c r="AH140" s="53">
        <f t="shared" si="30"/>
        <v>461956</v>
      </c>
      <c r="AI140" s="51"/>
      <c r="AJ140" s="218">
        <f t="shared" si="29"/>
        <v>0</v>
      </c>
    </row>
    <row r="141" spans="1:37" s="36" customFormat="1" ht="15.75" x14ac:dyDescent="0.25">
      <c r="A141" s="113" t="s">
        <v>325</v>
      </c>
      <c r="B141" s="114" t="s">
        <v>418</v>
      </c>
      <c r="C141" s="52" t="s">
        <v>319</v>
      </c>
      <c r="D141" s="52" t="s">
        <v>319</v>
      </c>
      <c r="E141" s="52" t="s">
        <v>319</v>
      </c>
      <c r="F141" s="52" t="s">
        <v>319</v>
      </c>
      <c r="G141" s="52" t="s">
        <v>319</v>
      </c>
      <c r="H141" s="52" t="s">
        <v>319</v>
      </c>
      <c r="I141" s="52" t="s">
        <v>319</v>
      </c>
      <c r="J141" s="52" t="s">
        <v>320</v>
      </c>
      <c r="K141" s="52" t="s">
        <v>319</v>
      </c>
      <c r="L141" s="52" t="s">
        <v>319</v>
      </c>
      <c r="M141" s="52"/>
      <c r="N141" s="52" t="s">
        <v>319</v>
      </c>
      <c r="O141" s="52" t="s">
        <v>319</v>
      </c>
      <c r="P141" s="52" t="s">
        <v>319</v>
      </c>
      <c r="Q141" s="247">
        <v>15630</v>
      </c>
      <c r="R141" s="115">
        <v>0</v>
      </c>
      <c r="S141" s="115">
        <v>0</v>
      </c>
      <c r="T141" s="115">
        <v>15630</v>
      </c>
      <c r="U141" s="115">
        <v>0</v>
      </c>
      <c r="V141" s="115">
        <v>0</v>
      </c>
      <c r="W141" s="115">
        <v>0</v>
      </c>
      <c r="X141" s="115">
        <v>0</v>
      </c>
      <c r="Y141" s="115">
        <v>0</v>
      </c>
      <c r="Z141" s="53"/>
      <c r="AA141" s="53"/>
      <c r="AB141" s="53"/>
      <c r="AC141" s="53"/>
      <c r="AD141" s="53"/>
      <c r="AE141" s="58"/>
      <c r="AF141" s="53"/>
      <c r="AG141" s="47"/>
      <c r="AH141" s="53">
        <f t="shared" si="30"/>
        <v>15630</v>
      </c>
      <c r="AI141" s="51"/>
      <c r="AJ141" s="218">
        <f t="shared" si="29"/>
        <v>0</v>
      </c>
    </row>
    <row r="142" spans="1:37" s="36" customFormat="1" ht="15.75" x14ac:dyDescent="0.25">
      <c r="A142" s="113" t="s">
        <v>328</v>
      </c>
      <c r="B142" s="114" t="s">
        <v>419</v>
      </c>
      <c r="C142" s="52" t="s">
        <v>319</v>
      </c>
      <c r="D142" s="52" t="s">
        <v>319</v>
      </c>
      <c r="E142" s="52" t="s">
        <v>319</v>
      </c>
      <c r="F142" s="52" t="s">
        <v>319</v>
      </c>
      <c r="G142" s="52" t="s">
        <v>319</v>
      </c>
      <c r="H142" s="52" t="s">
        <v>319</v>
      </c>
      <c r="I142" s="52" t="s">
        <v>319</v>
      </c>
      <c r="J142" s="52" t="s">
        <v>320</v>
      </c>
      <c r="K142" s="52" t="s">
        <v>319</v>
      </c>
      <c r="L142" s="52" t="s">
        <v>319</v>
      </c>
      <c r="M142" s="52"/>
      <c r="N142" s="52" t="s">
        <v>319</v>
      </c>
      <c r="O142" s="52" t="s">
        <v>319</v>
      </c>
      <c r="P142" s="52" t="s">
        <v>319</v>
      </c>
      <c r="Q142" s="247">
        <v>15000</v>
      </c>
      <c r="R142" s="115">
        <v>0</v>
      </c>
      <c r="S142" s="115">
        <v>0</v>
      </c>
      <c r="T142" s="115">
        <v>5720</v>
      </c>
      <c r="U142" s="115">
        <v>0</v>
      </c>
      <c r="V142" s="115">
        <v>9280</v>
      </c>
      <c r="W142" s="115">
        <v>0</v>
      </c>
      <c r="X142" s="115">
        <v>0</v>
      </c>
      <c r="Y142" s="115">
        <v>0</v>
      </c>
      <c r="Z142" s="53"/>
      <c r="AA142" s="53"/>
      <c r="AB142" s="53"/>
      <c r="AC142" s="53"/>
      <c r="AD142" s="53"/>
      <c r="AE142" s="58"/>
      <c r="AF142" s="53"/>
      <c r="AG142" s="47"/>
      <c r="AH142" s="53">
        <f t="shared" si="30"/>
        <v>15000</v>
      </c>
      <c r="AI142" s="51"/>
      <c r="AJ142" s="218">
        <f t="shared" si="29"/>
        <v>0</v>
      </c>
    </row>
    <row r="143" spans="1:37" s="36" customFormat="1" ht="15.75" x14ac:dyDescent="0.25">
      <c r="A143" s="113" t="s">
        <v>110</v>
      </c>
      <c r="B143" s="114" t="s">
        <v>111</v>
      </c>
      <c r="C143" s="52" t="s">
        <v>319</v>
      </c>
      <c r="D143" s="52" t="s">
        <v>319</v>
      </c>
      <c r="E143" s="52" t="s">
        <v>319</v>
      </c>
      <c r="F143" s="52" t="s">
        <v>319</v>
      </c>
      <c r="G143" s="52" t="s">
        <v>319</v>
      </c>
      <c r="H143" s="52" t="s">
        <v>319</v>
      </c>
      <c r="I143" s="52" t="s">
        <v>319</v>
      </c>
      <c r="J143" s="52" t="s">
        <v>320</v>
      </c>
      <c r="K143" s="52" t="s">
        <v>319</v>
      </c>
      <c r="L143" s="52" t="s">
        <v>319</v>
      </c>
      <c r="M143" s="52"/>
      <c r="N143" s="52" t="s">
        <v>319</v>
      </c>
      <c r="O143" s="52" t="s">
        <v>319</v>
      </c>
      <c r="P143" s="52" t="s">
        <v>319</v>
      </c>
      <c r="Q143" s="86">
        <v>0</v>
      </c>
      <c r="R143" s="115">
        <v>0</v>
      </c>
      <c r="S143" s="115">
        <v>0</v>
      </c>
      <c r="T143" s="115">
        <v>0</v>
      </c>
      <c r="U143" s="115">
        <v>0</v>
      </c>
      <c r="V143" s="115">
        <v>0</v>
      </c>
      <c r="W143" s="115">
        <v>0</v>
      </c>
      <c r="X143" s="115">
        <v>0</v>
      </c>
      <c r="Y143" s="115">
        <v>0</v>
      </c>
      <c r="Z143" s="58"/>
      <c r="AA143" s="53"/>
      <c r="AB143" s="53"/>
      <c r="AC143" s="53"/>
      <c r="AD143" s="53"/>
      <c r="AE143" s="53"/>
      <c r="AF143" s="53"/>
      <c r="AG143" s="47"/>
      <c r="AH143" s="53">
        <f t="shared" si="30"/>
        <v>0</v>
      </c>
      <c r="AI143" s="51"/>
      <c r="AJ143" s="218">
        <f t="shared" si="29"/>
        <v>0</v>
      </c>
    </row>
    <row r="144" spans="1:37" s="36" customFormat="1" ht="15.75" x14ac:dyDescent="0.25">
      <c r="A144" s="113" t="s">
        <v>187</v>
      </c>
      <c r="B144" s="114" t="s">
        <v>188</v>
      </c>
      <c r="C144" s="52" t="s">
        <v>319</v>
      </c>
      <c r="D144" s="52" t="s">
        <v>319</v>
      </c>
      <c r="E144" s="52" t="s">
        <v>319</v>
      </c>
      <c r="F144" s="52" t="s">
        <v>319</v>
      </c>
      <c r="G144" s="52" t="s">
        <v>319</v>
      </c>
      <c r="H144" s="52" t="s">
        <v>319</v>
      </c>
      <c r="I144" s="52" t="s">
        <v>319</v>
      </c>
      <c r="J144" s="52" t="s">
        <v>320</v>
      </c>
      <c r="K144" s="52" t="s">
        <v>319</v>
      </c>
      <c r="L144" s="52" t="s">
        <v>319</v>
      </c>
      <c r="M144" s="52"/>
      <c r="N144" s="52" t="s">
        <v>319</v>
      </c>
      <c r="O144" s="52" t="s">
        <v>319</v>
      </c>
      <c r="P144" s="52" t="s">
        <v>319</v>
      </c>
      <c r="Q144" s="182">
        <v>41062</v>
      </c>
      <c r="R144" s="115">
        <v>0</v>
      </c>
      <c r="S144" s="115">
        <v>0</v>
      </c>
      <c r="T144" s="115">
        <v>0</v>
      </c>
      <c r="U144" s="115">
        <v>0</v>
      </c>
      <c r="V144" s="115">
        <v>0</v>
      </c>
      <c r="W144" s="115">
        <v>41062</v>
      </c>
      <c r="X144" s="115">
        <v>0</v>
      </c>
      <c r="Y144" s="115">
        <v>0</v>
      </c>
      <c r="Z144" s="58"/>
      <c r="AA144" s="58"/>
      <c r="AB144" s="58"/>
      <c r="AC144" s="58"/>
      <c r="AD144" s="58"/>
      <c r="AE144" s="58"/>
      <c r="AF144" s="58"/>
      <c r="AG144" s="47"/>
      <c r="AH144" s="53">
        <f t="shared" si="30"/>
        <v>41062</v>
      </c>
      <c r="AI144" s="51"/>
      <c r="AJ144" s="218">
        <f t="shared" si="29"/>
        <v>0</v>
      </c>
    </row>
    <row r="145" spans="1:37" s="36" customFormat="1" ht="15.75" x14ac:dyDescent="0.25">
      <c r="A145" s="113" t="s">
        <v>178</v>
      </c>
      <c r="B145" s="113" t="s">
        <v>179</v>
      </c>
      <c r="C145" s="52" t="s">
        <v>319</v>
      </c>
      <c r="D145" s="52" t="s">
        <v>319</v>
      </c>
      <c r="E145" s="52" t="s">
        <v>319</v>
      </c>
      <c r="F145" s="52" t="s">
        <v>319</v>
      </c>
      <c r="G145" s="52" t="s">
        <v>319</v>
      </c>
      <c r="H145" s="52" t="s">
        <v>319</v>
      </c>
      <c r="I145" s="52" t="s">
        <v>319</v>
      </c>
      <c r="J145" s="52" t="s">
        <v>320</v>
      </c>
      <c r="K145" s="52" t="s">
        <v>319</v>
      </c>
      <c r="L145" s="52" t="s">
        <v>319</v>
      </c>
      <c r="M145" s="52"/>
      <c r="N145" s="52" t="s">
        <v>319</v>
      </c>
      <c r="O145" s="52" t="s">
        <v>319</v>
      </c>
      <c r="P145" s="52" t="s">
        <v>319</v>
      </c>
      <c r="Q145" s="86">
        <v>0</v>
      </c>
      <c r="R145" s="115">
        <v>0</v>
      </c>
      <c r="S145" s="115">
        <v>0</v>
      </c>
      <c r="T145" s="115">
        <v>0</v>
      </c>
      <c r="U145" s="115">
        <v>0</v>
      </c>
      <c r="V145" s="115">
        <v>0</v>
      </c>
      <c r="W145" s="115">
        <v>0</v>
      </c>
      <c r="X145" s="115">
        <v>0</v>
      </c>
      <c r="Y145" s="115">
        <v>0</v>
      </c>
      <c r="Z145" s="58"/>
      <c r="AA145" s="58"/>
      <c r="AB145" s="58"/>
      <c r="AC145" s="58"/>
      <c r="AD145" s="58"/>
      <c r="AE145" s="58"/>
      <c r="AF145" s="53"/>
      <c r="AG145" s="47"/>
      <c r="AH145" s="53">
        <f t="shared" si="30"/>
        <v>0</v>
      </c>
      <c r="AI145" s="51"/>
      <c r="AJ145" s="218">
        <f t="shared" si="29"/>
        <v>0</v>
      </c>
    </row>
    <row r="146" spans="1:37" s="36" customFormat="1" ht="15.75" x14ac:dyDescent="0.25">
      <c r="A146" s="113" t="s">
        <v>544</v>
      </c>
      <c r="B146" s="113" t="s">
        <v>668</v>
      </c>
      <c r="C146" s="341" t="s">
        <v>563</v>
      </c>
      <c r="D146" s="341" t="s">
        <v>671</v>
      </c>
      <c r="E146" s="345" t="s">
        <v>691</v>
      </c>
      <c r="F146" s="52" t="s">
        <v>319</v>
      </c>
      <c r="G146" s="52" t="s">
        <v>319</v>
      </c>
      <c r="H146" s="52" t="s">
        <v>319</v>
      </c>
      <c r="I146" s="52" t="s">
        <v>319</v>
      </c>
      <c r="J146" s="87" t="s">
        <v>320</v>
      </c>
      <c r="K146" s="52" t="s">
        <v>319</v>
      </c>
      <c r="L146" s="52" t="s">
        <v>319</v>
      </c>
      <c r="M146" s="87"/>
      <c r="N146" s="52" t="s">
        <v>319</v>
      </c>
      <c r="O146" s="52" t="s">
        <v>319</v>
      </c>
      <c r="P146" s="52" t="s">
        <v>319</v>
      </c>
      <c r="Q146" s="181">
        <v>15493</v>
      </c>
      <c r="R146" s="115">
        <v>0</v>
      </c>
      <c r="S146" s="115">
        <v>0</v>
      </c>
      <c r="T146" s="115">
        <v>0</v>
      </c>
      <c r="U146" s="115">
        <v>0</v>
      </c>
      <c r="V146" s="115">
        <v>0</v>
      </c>
      <c r="W146" s="115">
        <v>0</v>
      </c>
      <c r="X146" s="115">
        <v>0</v>
      </c>
      <c r="Y146" s="115">
        <v>0</v>
      </c>
      <c r="Z146" s="115">
        <v>15493</v>
      </c>
      <c r="AA146" s="53"/>
      <c r="AB146" s="53"/>
      <c r="AC146" s="53"/>
      <c r="AD146" s="53"/>
      <c r="AE146" s="53"/>
      <c r="AF146" s="53"/>
      <c r="AG146" s="47"/>
      <c r="AH146" s="53">
        <f>SUM(R146:AG146)</f>
        <v>15493</v>
      </c>
      <c r="AI146" s="51"/>
      <c r="AJ146" s="218">
        <f t="shared" si="29"/>
        <v>0</v>
      </c>
    </row>
    <row r="147" spans="1:37" s="36" customFormat="1" ht="15.75" x14ac:dyDescent="0.25">
      <c r="A147" s="113" t="s">
        <v>597</v>
      </c>
      <c r="B147" s="35" t="s">
        <v>598</v>
      </c>
      <c r="C147" s="52" t="s">
        <v>319</v>
      </c>
      <c r="D147" s="52" t="s">
        <v>319</v>
      </c>
      <c r="E147" s="52" t="s">
        <v>319</v>
      </c>
      <c r="F147" s="52" t="s">
        <v>319</v>
      </c>
      <c r="G147" s="52" t="s">
        <v>319</v>
      </c>
      <c r="H147" s="52" t="s">
        <v>319</v>
      </c>
      <c r="I147" s="52" t="s">
        <v>319</v>
      </c>
      <c r="J147" s="52" t="s">
        <v>320</v>
      </c>
      <c r="K147" s="52" t="s">
        <v>319</v>
      </c>
      <c r="L147" s="52" t="s">
        <v>319</v>
      </c>
      <c r="M147" s="52"/>
      <c r="N147" s="52" t="s">
        <v>319</v>
      </c>
      <c r="O147" s="52" t="s">
        <v>319</v>
      </c>
      <c r="P147" s="52" t="s">
        <v>319</v>
      </c>
      <c r="Q147" s="53">
        <v>0</v>
      </c>
      <c r="R147" s="115">
        <v>0</v>
      </c>
      <c r="S147" s="115">
        <v>0</v>
      </c>
      <c r="T147" s="115">
        <v>0</v>
      </c>
      <c r="U147" s="115">
        <v>0</v>
      </c>
      <c r="V147" s="115">
        <v>0</v>
      </c>
      <c r="W147" s="115">
        <v>0</v>
      </c>
      <c r="X147" s="115">
        <v>0</v>
      </c>
      <c r="Y147" s="115">
        <v>0</v>
      </c>
      <c r="Z147" s="53"/>
      <c r="AA147" s="53"/>
      <c r="AB147" s="53"/>
      <c r="AC147" s="53"/>
      <c r="AD147" s="53"/>
      <c r="AE147" s="53"/>
      <c r="AF147" s="53"/>
      <c r="AG147" s="47"/>
      <c r="AH147" s="53">
        <f>SUM(R147:AG147)</f>
        <v>0</v>
      </c>
      <c r="AI147" s="51"/>
      <c r="AJ147" s="218">
        <f t="shared" si="29"/>
        <v>0</v>
      </c>
    </row>
    <row r="148" spans="1:37" s="36" customFormat="1" ht="15.75" x14ac:dyDescent="0.25">
      <c r="A148" s="113" t="s">
        <v>602</v>
      </c>
      <c r="B148" s="114" t="s">
        <v>603</v>
      </c>
      <c r="C148" s="52" t="s">
        <v>319</v>
      </c>
      <c r="D148" s="52" t="s">
        <v>319</v>
      </c>
      <c r="E148" s="52" t="s">
        <v>319</v>
      </c>
      <c r="F148" s="52" t="s">
        <v>319</v>
      </c>
      <c r="G148" s="52" t="s">
        <v>319</v>
      </c>
      <c r="H148" s="52" t="s">
        <v>319</v>
      </c>
      <c r="I148" s="52" t="s">
        <v>319</v>
      </c>
      <c r="J148" s="52" t="s">
        <v>320</v>
      </c>
      <c r="K148" s="52" t="s">
        <v>319</v>
      </c>
      <c r="L148" s="52" t="s">
        <v>319</v>
      </c>
      <c r="M148" s="52"/>
      <c r="N148" s="52" t="s">
        <v>319</v>
      </c>
      <c r="O148" s="52" t="s">
        <v>319</v>
      </c>
      <c r="P148" s="52" t="s">
        <v>319</v>
      </c>
      <c r="Q148" s="53">
        <v>0</v>
      </c>
      <c r="R148" s="115">
        <v>0</v>
      </c>
      <c r="S148" s="115">
        <v>0</v>
      </c>
      <c r="T148" s="115">
        <v>0</v>
      </c>
      <c r="U148" s="115">
        <v>0</v>
      </c>
      <c r="V148" s="115">
        <v>0</v>
      </c>
      <c r="W148" s="115">
        <v>0</v>
      </c>
      <c r="X148" s="115">
        <v>0</v>
      </c>
      <c r="Y148" s="115">
        <v>0</v>
      </c>
      <c r="Z148" s="53"/>
      <c r="AA148" s="53"/>
      <c r="AB148" s="53"/>
      <c r="AC148" s="53"/>
      <c r="AD148" s="53"/>
      <c r="AE148" s="58"/>
      <c r="AF148" s="53"/>
      <c r="AG148" s="47"/>
      <c r="AH148" s="53">
        <f>SUM(R148:AG148)</f>
        <v>0</v>
      </c>
      <c r="AI148" s="51"/>
      <c r="AJ148" s="218">
        <f t="shared" si="29"/>
        <v>0</v>
      </c>
    </row>
    <row r="149" spans="1:37" s="36" customFormat="1" ht="15.75" x14ac:dyDescent="0.25">
      <c r="A149" s="34" t="s">
        <v>210</v>
      </c>
      <c r="B149" s="35" t="s">
        <v>211</v>
      </c>
      <c r="C149" s="52" t="s">
        <v>165</v>
      </c>
      <c r="D149" s="52" t="s">
        <v>165</v>
      </c>
      <c r="E149" s="52" t="s">
        <v>165</v>
      </c>
      <c r="F149" s="52" t="s">
        <v>165</v>
      </c>
      <c r="G149" s="52" t="s">
        <v>165</v>
      </c>
      <c r="H149" s="52" t="s">
        <v>165</v>
      </c>
      <c r="I149" s="52" t="s">
        <v>165</v>
      </c>
      <c r="J149" s="52" t="s">
        <v>320</v>
      </c>
      <c r="K149" s="52" t="s">
        <v>165</v>
      </c>
      <c r="L149" s="52" t="s">
        <v>165</v>
      </c>
      <c r="M149" s="52"/>
      <c r="N149" s="52" t="s">
        <v>165</v>
      </c>
      <c r="O149" s="52" t="s">
        <v>165</v>
      </c>
      <c r="P149" s="52" t="s">
        <v>165</v>
      </c>
      <c r="Q149" s="86">
        <v>0</v>
      </c>
      <c r="R149" s="115">
        <v>0</v>
      </c>
      <c r="S149" s="115">
        <v>0</v>
      </c>
      <c r="T149" s="115">
        <v>0</v>
      </c>
      <c r="U149" s="115">
        <v>0</v>
      </c>
      <c r="V149" s="115">
        <v>0</v>
      </c>
      <c r="W149" s="115">
        <v>0</v>
      </c>
      <c r="X149" s="115">
        <v>0</v>
      </c>
      <c r="Y149" s="115">
        <v>0</v>
      </c>
      <c r="Z149" s="53"/>
      <c r="AA149" s="53"/>
      <c r="AB149" s="53"/>
      <c r="AC149" s="53"/>
      <c r="AD149" s="53"/>
      <c r="AE149" s="53"/>
      <c r="AF149" s="53"/>
      <c r="AG149" s="47"/>
      <c r="AH149" s="53">
        <f t="shared" si="30"/>
        <v>0</v>
      </c>
      <c r="AI149" s="51"/>
      <c r="AJ149" s="218">
        <f t="shared" si="29"/>
        <v>0</v>
      </c>
    </row>
    <row r="150" spans="1:37" s="36" customFormat="1" ht="15.75" x14ac:dyDescent="0.25">
      <c r="A150" s="104" t="s">
        <v>337</v>
      </c>
      <c r="B150" s="105" t="s">
        <v>422</v>
      </c>
      <c r="C150" s="52" t="s">
        <v>319</v>
      </c>
      <c r="D150" s="87" t="s">
        <v>319</v>
      </c>
      <c r="E150" s="87" t="s">
        <v>319</v>
      </c>
      <c r="F150" s="87" t="s">
        <v>319</v>
      </c>
      <c r="G150" s="87" t="s">
        <v>319</v>
      </c>
      <c r="H150" s="87" t="s">
        <v>319</v>
      </c>
      <c r="I150" s="87" t="s">
        <v>319</v>
      </c>
      <c r="J150" s="87" t="s">
        <v>320</v>
      </c>
      <c r="K150" s="52" t="s">
        <v>319</v>
      </c>
      <c r="L150" s="52" t="s">
        <v>319</v>
      </c>
      <c r="M150" s="52"/>
      <c r="N150" s="52" t="s">
        <v>319</v>
      </c>
      <c r="O150" s="52" t="s">
        <v>319</v>
      </c>
      <c r="P150" s="52" t="s">
        <v>319</v>
      </c>
      <c r="Q150" s="181">
        <v>37392</v>
      </c>
      <c r="R150" s="115">
        <v>0</v>
      </c>
      <c r="S150" s="115">
        <v>0</v>
      </c>
      <c r="T150" s="115">
        <v>37392</v>
      </c>
      <c r="U150" s="115">
        <v>0</v>
      </c>
      <c r="V150" s="115">
        <v>0</v>
      </c>
      <c r="W150" s="115">
        <v>0</v>
      </c>
      <c r="X150" s="115">
        <v>0</v>
      </c>
      <c r="Y150" s="115">
        <v>0</v>
      </c>
      <c r="Z150" s="58"/>
      <c r="AA150" s="58"/>
      <c r="AB150" s="58"/>
      <c r="AC150" s="58"/>
      <c r="AD150" s="58"/>
      <c r="AE150" s="53"/>
      <c r="AF150" s="53"/>
      <c r="AG150" s="47"/>
      <c r="AH150" s="53">
        <f t="shared" si="30"/>
        <v>37392</v>
      </c>
      <c r="AI150" s="51"/>
      <c r="AJ150" s="218">
        <f t="shared" si="29"/>
        <v>0</v>
      </c>
    </row>
    <row r="151" spans="1:37" s="36" customFormat="1" ht="15.75" x14ac:dyDescent="0.25">
      <c r="A151" s="283" t="s">
        <v>340</v>
      </c>
      <c r="B151" s="56" t="s">
        <v>429</v>
      </c>
      <c r="C151" s="52" t="s">
        <v>319</v>
      </c>
      <c r="D151" s="87" t="s">
        <v>319</v>
      </c>
      <c r="E151" s="87" t="s">
        <v>319</v>
      </c>
      <c r="F151" s="87" t="s">
        <v>319</v>
      </c>
      <c r="G151" s="87" t="s">
        <v>319</v>
      </c>
      <c r="H151" s="87" t="s">
        <v>319</v>
      </c>
      <c r="I151" s="87" t="s">
        <v>319</v>
      </c>
      <c r="J151" s="52" t="s">
        <v>320</v>
      </c>
      <c r="K151" s="52" t="s">
        <v>319</v>
      </c>
      <c r="L151" s="87" t="s">
        <v>319</v>
      </c>
      <c r="M151" s="87"/>
      <c r="N151" s="52" t="s">
        <v>319</v>
      </c>
      <c r="O151" s="52" t="s">
        <v>319</v>
      </c>
      <c r="P151" s="52" t="s">
        <v>319</v>
      </c>
      <c r="Q151" s="182">
        <v>3575</v>
      </c>
      <c r="R151" s="115">
        <v>0</v>
      </c>
      <c r="S151" s="115">
        <v>0</v>
      </c>
      <c r="T151" s="115">
        <v>3575</v>
      </c>
      <c r="U151" s="115">
        <v>0</v>
      </c>
      <c r="V151" s="115">
        <v>0</v>
      </c>
      <c r="W151" s="115">
        <v>0</v>
      </c>
      <c r="X151" s="115">
        <v>0</v>
      </c>
      <c r="Y151" s="115">
        <v>0</v>
      </c>
      <c r="Z151" s="58"/>
      <c r="AA151" s="58"/>
      <c r="AB151" s="58"/>
      <c r="AC151" s="58"/>
      <c r="AD151" s="58"/>
      <c r="AE151" s="58"/>
      <c r="AF151" s="53"/>
      <c r="AG151" s="47"/>
      <c r="AH151" s="53">
        <f t="shared" si="30"/>
        <v>3575</v>
      </c>
      <c r="AI151" s="51"/>
      <c r="AJ151" s="218">
        <f t="shared" si="29"/>
        <v>0</v>
      </c>
    </row>
    <row r="152" spans="1:37" s="36" customFormat="1" ht="15.75" x14ac:dyDescent="0.25">
      <c r="A152" s="93"/>
      <c r="B152" s="94"/>
      <c r="C152" s="91"/>
      <c r="D152" s="91"/>
      <c r="E152" s="94"/>
      <c r="F152" s="91"/>
      <c r="G152" s="91"/>
      <c r="H152" s="91"/>
      <c r="I152" s="92"/>
      <c r="J152" s="91"/>
      <c r="K152" s="91"/>
      <c r="L152" s="91"/>
      <c r="M152" s="91"/>
      <c r="N152" s="92"/>
      <c r="O152" s="92"/>
      <c r="P152" s="92"/>
      <c r="Q152" s="243">
        <f t="shared" ref="Q152:AF152" si="31">SUM(Q134:Q151)</f>
        <v>864551</v>
      </c>
      <c r="R152" s="243">
        <f t="shared" si="31"/>
        <v>122184</v>
      </c>
      <c r="S152" s="243">
        <f t="shared" si="31"/>
        <v>353138</v>
      </c>
      <c r="T152" s="243">
        <f t="shared" si="31"/>
        <v>171135</v>
      </c>
      <c r="U152" s="243">
        <f t="shared" si="31"/>
        <v>0</v>
      </c>
      <c r="V152" s="243">
        <f t="shared" si="31"/>
        <v>155902</v>
      </c>
      <c r="W152" s="243">
        <f t="shared" si="31"/>
        <v>74336</v>
      </c>
      <c r="X152" s="243">
        <f t="shared" si="31"/>
        <v>0</v>
      </c>
      <c r="Y152" s="243">
        <f t="shared" si="31"/>
        <v>5637</v>
      </c>
      <c r="Z152" s="243">
        <f t="shared" si="31"/>
        <v>15493</v>
      </c>
      <c r="AA152" s="243">
        <f t="shared" si="31"/>
        <v>0</v>
      </c>
      <c r="AB152" s="243">
        <f t="shared" si="31"/>
        <v>0</v>
      </c>
      <c r="AC152" s="243">
        <f t="shared" si="31"/>
        <v>0</v>
      </c>
      <c r="AD152" s="243">
        <f t="shared" si="31"/>
        <v>0</v>
      </c>
      <c r="AE152" s="243">
        <f t="shared" si="31"/>
        <v>0</v>
      </c>
      <c r="AF152" s="243">
        <f t="shared" si="31"/>
        <v>0</v>
      </c>
      <c r="AG152" s="47"/>
      <c r="AH152" s="53">
        <f t="shared" si="30"/>
        <v>897825</v>
      </c>
      <c r="AI152" s="51"/>
      <c r="AJ152" s="218">
        <f t="shared" si="29"/>
        <v>33274</v>
      </c>
    </row>
    <row r="153" spans="1:37" s="36" customFormat="1" ht="16.5" thickBot="1" x14ac:dyDescent="0.3">
      <c r="A153" s="34"/>
      <c r="B153" s="35"/>
      <c r="C153" s="52"/>
      <c r="D153" s="52"/>
      <c r="E153" s="35"/>
      <c r="F153" s="52"/>
      <c r="G153" s="52"/>
      <c r="H153" s="52"/>
      <c r="I153" s="50"/>
      <c r="J153" s="52"/>
      <c r="K153" s="52"/>
      <c r="L153" s="141"/>
      <c r="M153" s="141"/>
      <c r="N153" s="142"/>
      <c r="O153" s="142"/>
      <c r="P153" s="142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4"/>
      <c r="AH153" s="143"/>
      <c r="AI153" s="145"/>
      <c r="AJ153" s="218">
        <f t="shared" si="29"/>
        <v>0</v>
      </c>
    </row>
    <row r="154" spans="1:37" s="36" customFormat="1" ht="16.5" thickBot="1" x14ac:dyDescent="0.3">
      <c r="C154" s="37"/>
      <c r="D154" s="37"/>
      <c r="F154" s="37"/>
      <c r="G154" s="293"/>
      <c r="H154" s="293"/>
      <c r="I154" s="38"/>
      <c r="J154" s="37"/>
      <c r="K154" s="37"/>
      <c r="L154" s="338"/>
      <c r="M154" s="70"/>
      <c r="N154" s="148" t="s">
        <v>445</v>
      </c>
      <c r="O154" s="148"/>
      <c r="P154" s="148"/>
      <c r="Q154" s="149">
        <f t="shared" ref="Q154:AF154" si="32">Q21+Q26+Q38+Q47+Q52+Q56+Q62+Q65+Q82+Q42+Q132+Q152+Q85</f>
        <v>125704077</v>
      </c>
      <c r="R154" s="149">
        <f t="shared" si="32"/>
        <v>13135775</v>
      </c>
      <c r="S154" s="149">
        <f t="shared" si="32"/>
        <v>4162260</v>
      </c>
      <c r="T154" s="149">
        <f t="shared" si="32"/>
        <v>2539811</v>
      </c>
      <c r="U154" s="149">
        <f t="shared" si="32"/>
        <v>3804063</v>
      </c>
      <c r="V154" s="149">
        <f t="shared" si="32"/>
        <v>4027943</v>
      </c>
      <c r="W154" s="149">
        <f t="shared" si="32"/>
        <v>3386920</v>
      </c>
      <c r="X154" s="149">
        <f t="shared" si="32"/>
        <v>4748195</v>
      </c>
      <c r="Y154" s="149">
        <f t="shared" si="32"/>
        <v>3019590</v>
      </c>
      <c r="Z154" s="149">
        <f t="shared" si="32"/>
        <v>6352243</v>
      </c>
      <c r="AA154" s="149">
        <f t="shared" si="32"/>
        <v>5429719</v>
      </c>
      <c r="AB154" s="149">
        <f t="shared" si="32"/>
        <v>4942889</v>
      </c>
      <c r="AC154" s="149">
        <f t="shared" si="32"/>
        <v>4961267</v>
      </c>
      <c r="AD154" s="149">
        <f t="shared" si="32"/>
        <v>5140260</v>
      </c>
      <c r="AE154" s="149">
        <f t="shared" si="32"/>
        <v>58309655</v>
      </c>
      <c r="AF154" s="149">
        <f t="shared" si="32"/>
        <v>3000000</v>
      </c>
      <c r="AG154" s="150"/>
      <c r="AH154" s="152">
        <f>SUM(R154:AG154)</f>
        <v>126960590</v>
      </c>
      <c r="AI154" s="153"/>
      <c r="AJ154" s="218">
        <f t="shared" si="29"/>
        <v>1256513</v>
      </c>
      <c r="AK154" s="55"/>
    </row>
    <row r="155" spans="1:37" s="90" customFormat="1" ht="15.75" x14ac:dyDescent="0.25">
      <c r="C155" s="122"/>
      <c r="D155" s="122"/>
      <c r="F155" s="122"/>
      <c r="G155" s="295"/>
      <c r="H155" s="295"/>
      <c r="I155" s="296"/>
      <c r="J155" s="122"/>
      <c r="K155" s="122"/>
      <c r="L155" s="123"/>
      <c r="M155" s="123"/>
      <c r="N155" s="124"/>
      <c r="O155" s="124"/>
      <c r="P155" s="124"/>
      <c r="Q155" s="124" t="s">
        <v>405</v>
      </c>
      <c r="R155" s="125">
        <v>14657045</v>
      </c>
      <c r="S155" s="128">
        <v>2798117.1428571427</v>
      </c>
      <c r="T155" s="128">
        <v>3206824.6428571427</v>
      </c>
      <c r="U155" s="128">
        <v>4008392.6428571427</v>
      </c>
      <c r="V155" s="128">
        <v>4318997.6428571427</v>
      </c>
      <c r="W155" s="128">
        <v>5069566.6428571418</v>
      </c>
      <c r="X155" s="128">
        <v>5575814.6428571418</v>
      </c>
      <c r="Y155" s="128">
        <v>5314704.6428571418</v>
      </c>
      <c r="Z155" s="128">
        <v>5476840</v>
      </c>
      <c r="AA155" s="128">
        <v>5359959</v>
      </c>
      <c r="AB155" s="128">
        <v>6173564</v>
      </c>
      <c r="AC155" s="128">
        <v>5501722</v>
      </c>
      <c r="AD155" s="128">
        <v>3866535</v>
      </c>
      <c r="AE155" s="125">
        <v>16008105</v>
      </c>
      <c r="AF155" s="125"/>
      <c r="AG155" s="146"/>
      <c r="AH155" s="125"/>
      <c r="AI155" s="126"/>
      <c r="AJ155" s="273"/>
    </row>
    <row r="156" spans="1:37" ht="15.75" x14ac:dyDescent="0.25">
      <c r="L156" s="75"/>
      <c r="M156" s="75"/>
      <c r="Q156" s="38" t="s">
        <v>406</v>
      </c>
      <c r="R156" s="128">
        <f>R154-R155</f>
        <v>-1521270</v>
      </c>
      <c r="S156" s="128">
        <f>S154-S155</f>
        <v>1364142.8571428573</v>
      </c>
      <c r="T156" s="128">
        <f t="shared" ref="T156:AD156" si="33">T154-T155</f>
        <v>-667013.64285714272</v>
      </c>
      <c r="U156" s="128">
        <f t="shared" si="33"/>
        <v>-204329.64285714272</v>
      </c>
      <c r="V156" s="128">
        <f t="shared" si="33"/>
        <v>-291054.64285714272</v>
      </c>
      <c r="W156" s="128">
        <f t="shared" si="33"/>
        <v>-1682646.6428571418</v>
      </c>
      <c r="X156" s="128">
        <f t="shared" si="33"/>
        <v>-827619.64285714179</v>
      </c>
      <c r="Y156" s="128">
        <f t="shared" si="33"/>
        <v>-2295114.6428571418</v>
      </c>
      <c r="Z156" s="128">
        <f t="shared" si="33"/>
        <v>875403</v>
      </c>
      <c r="AA156" s="128">
        <f t="shared" si="33"/>
        <v>69760</v>
      </c>
      <c r="AB156" s="128">
        <f t="shared" si="33"/>
        <v>-1230675</v>
      </c>
      <c r="AC156" s="128">
        <f t="shared" si="33"/>
        <v>-540455</v>
      </c>
      <c r="AD156" s="128">
        <f t="shared" si="33"/>
        <v>1273725</v>
      </c>
      <c r="AE156" s="125"/>
      <c r="AF156" s="125"/>
      <c r="AG156" s="47"/>
      <c r="AH156" s="76"/>
      <c r="AI156" s="77"/>
      <c r="AJ156" s="273"/>
    </row>
    <row r="157" spans="1:37" ht="15.75" x14ac:dyDescent="0.25">
      <c r="Q157" s="38"/>
      <c r="S157" s="278"/>
      <c r="T157" s="130"/>
      <c r="U157" s="130"/>
      <c r="V157" s="133"/>
      <c r="W157" s="133"/>
      <c r="X157" s="133"/>
      <c r="Y157" s="130"/>
      <c r="Z157" s="130"/>
      <c r="AA157" s="130"/>
      <c r="AB157" s="130"/>
      <c r="AC157" s="130"/>
      <c r="AD157" s="278"/>
      <c r="AE157" s="278"/>
      <c r="AF157" s="130"/>
      <c r="AG157" s="47"/>
      <c r="AJ157" s="274"/>
    </row>
    <row r="158" spans="1:37" ht="15.75" x14ac:dyDescent="0.25">
      <c r="Q158" s="38" t="s">
        <v>407</v>
      </c>
      <c r="S158" s="140">
        <v>2897650</v>
      </c>
      <c r="T158" s="136">
        <v>3085444</v>
      </c>
      <c r="U158" s="136">
        <v>3369732</v>
      </c>
      <c r="V158" s="133"/>
      <c r="W158" s="133"/>
      <c r="X158" s="133"/>
      <c r="Y158" s="130"/>
      <c r="Z158" s="130"/>
      <c r="AA158" s="130"/>
      <c r="AB158" s="130"/>
      <c r="AC158" s="130"/>
      <c r="AD158" s="278"/>
      <c r="AE158" s="278"/>
      <c r="AF158" s="130"/>
      <c r="AG158" s="47"/>
      <c r="AJ158" s="274"/>
    </row>
    <row r="159" spans="1:37" ht="15.75" x14ac:dyDescent="0.25">
      <c r="Q159" s="38" t="s">
        <v>408</v>
      </c>
      <c r="S159" s="278">
        <f>(S155*0.9)*0.887</f>
        <v>2233736.915142857</v>
      </c>
      <c r="T159" s="130">
        <f t="shared" ref="T159:AE159" si="34">(T155*0.9)*0.887</f>
        <v>2560008.1123928572</v>
      </c>
      <c r="U159" s="130">
        <f t="shared" si="34"/>
        <v>3199899.8467928572</v>
      </c>
      <c r="V159" s="130">
        <f t="shared" si="34"/>
        <v>3447855.8182928571</v>
      </c>
      <c r="W159" s="130">
        <f t="shared" si="34"/>
        <v>4047035.0509928567</v>
      </c>
      <c r="X159" s="130">
        <f t="shared" si="34"/>
        <v>4451172.8293928569</v>
      </c>
      <c r="Y159" s="130">
        <f t="shared" si="34"/>
        <v>4242728.716392857</v>
      </c>
      <c r="Z159" s="130">
        <f t="shared" si="34"/>
        <v>4372161.3720000004</v>
      </c>
      <c r="AA159" s="130">
        <f t="shared" si="34"/>
        <v>4278855.269700001</v>
      </c>
      <c r="AB159" s="130">
        <f t="shared" si="34"/>
        <v>4928356.1412000004</v>
      </c>
      <c r="AC159" s="130">
        <f t="shared" si="34"/>
        <v>4392024.6726000002</v>
      </c>
      <c r="AD159" s="278">
        <f t="shared" si="34"/>
        <v>3086654.8905000002</v>
      </c>
      <c r="AE159" s="278">
        <f t="shared" si="34"/>
        <v>12779270.2215</v>
      </c>
      <c r="AF159" s="130"/>
      <c r="AG159" s="47"/>
      <c r="AJ159" s="274"/>
    </row>
    <row r="160" spans="1:37" ht="15.75" x14ac:dyDescent="0.25">
      <c r="Q160" s="38" t="s">
        <v>406</v>
      </c>
      <c r="S160" s="278">
        <f>S158-S159</f>
        <v>663913.084857143</v>
      </c>
      <c r="T160" s="130">
        <f>T158-T159</f>
        <v>525435.88760714279</v>
      </c>
      <c r="U160" s="130">
        <f>U158-U159</f>
        <v>169832.15320714284</v>
      </c>
      <c r="V160" s="130"/>
      <c r="W160" s="130"/>
      <c r="X160" s="130"/>
      <c r="Y160" s="130"/>
      <c r="Z160" s="130"/>
      <c r="AA160" s="130"/>
      <c r="AB160" s="130"/>
      <c r="AC160" s="130"/>
      <c r="AD160" s="278"/>
      <c r="AE160" s="278"/>
      <c r="AF160" s="130"/>
      <c r="AG160" s="47"/>
      <c r="AJ160" s="274"/>
    </row>
    <row r="161" spans="1:36" ht="15.75" x14ac:dyDescent="0.25">
      <c r="Q161" s="38"/>
      <c r="S161" s="278"/>
      <c r="T161" s="130"/>
      <c r="U161" s="130"/>
      <c r="V161" s="133"/>
      <c r="W161" s="133"/>
      <c r="X161" s="133"/>
      <c r="Y161" s="130"/>
      <c r="Z161" s="130"/>
      <c r="AA161" s="130"/>
      <c r="AB161" s="130"/>
      <c r="AC161" s="130"/>
      <c r="AD161" s="278"/>
      <c r="AE161" s="278"/>
      <c r="AF161" s="130"/>
      <c r="AG161" s="47"/>
      <c r="AJ161" s="274"/>
    </row>
    <row r="162" spans="1:36" ht="15.75" x14ac:dyDescent="0.25">
      <c r="Q162" s="38" t="s">
        <v>409</v>
      </c>
      <c r="S162" s="140">
        <v>261214</v>
      </c>
      <c r="T162" s="136">
        <v>325090</v>
      </c>
      <c r="U162" s="136">
        <v>157521</v>
      </c>
      <c r="V162" s="133"/>
      <c r="W162" s="133"/>
      <c r="X162" s="133"/>
      <c r="Y162" s="130"/>
      <c r="Z162" s="130"/>
      <c r="AA162" s="130"/>
      <c r="AB162" s="130"/>
      <c r="AC162" s="130"/>
      <c r="AD162" s="278"/>
      <c r="AE162" s="278"/>
      <c r="AF162" s="130"/>
      <c r="AG162" s="47"/>
      <c r="AJ162" s="274"/>
    </row>
    <row r="163" spans="1:36" ht="15.75" x14ac:dyDescent="0.25">
      <c r="Q163" s="38" t="s">
        <v>410</v>
      </c>
      <c r="S163" s="278">
        <f t="shared" ref="S163:AD163" si="35">(S155*0.877)*0.1</f>
        <v>245394.87342857142</v>
      </c>
      <c r="T163" s="130">
        <f t="shared" si="35"/>
        <v>281238.52117857145</v>
      </c>
      <c r="U163" s="130">
        <f t="shared" si="35"/>
        <v>351536.03477857145</v>
      </c>
      <c r="V163" s="130">
        <f t="shared" si="35"/>
        <v>378776.09327857144</v>
      </c>
      <c r="W163" s="130">
        <f t="shared" si="35"/>
        <v>444600.99457857135</v>
      </c>
      <c r="X163" s="130">
        <f t="shared" si="35"/>
        <v>488998.9441785714</v>
      </c>
      <c r="Y163" s="130">
        <f t="shared" si="35"/>
        <v>466099.59717857133</v>
      </c>
      <c r="Z163" s="130">
        <f t="shared" si="35"/>
        <v>480318.86800000002</v>
      </c>
      <c r="AA163" s="130">
        <f t="shared" si="35"/>
        <v>470068.40429999999</v>
      </c>
      <c r="AB163" s="130">
        <f t="shared" si="35"/>
        <v>541421.56279999996</v>
      </c>
      <c r="AC163" s="130">
        <f t="shared" si="35"/>
        <v>482501.01940000005</v>
      </c>
      <c r="AD163" s="278">
        <f t="shared" si="35"/>
        <v>339095.11950000003</v>
      </c>
      <c r="AE163" s="278">
        <f>(AE155*0.877)*0.1</f>
        <v>1403910.8085000003</v>
      </c>
      <c r="AF163" s="130"/>
      <c r="AG163" s="47"/>
      <c r="AJ163" s="274"/>
    </row>
    <row r="164" spans="1:36" ht="15.75" x14ac:dyDescent="0.25">
      <c r="L164" s="75"/>
      <c r="M164" s="75"/>
      <c r="Q164" s="38" t="s">
        <v>406</v>
      </c>
      <c r="R164" s="125"/>
      <c r="S164" s="128">
        <f>S162-S163</f>
        <v>15819.126571428584</v>
      </c>
      <c r="T164" s="128">
        <f>T162-T163</f>
        <v>43851.478821428551</v>
      </c>
      <c r="U164" s="128">
        <f>U162-U163</f>
        <v>-194015.03477857145</v>
      </c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5"/>
      <c r="AF164" s="125"/>
      <c r="AG164" s="47"/>
      <c r="AH164" s="76"/>
      <c r="AI164" s="77"/>
      <c r="AJ164" s="273"/>
    </row>
    <row r="165" spans="1:36" ht="15.75" x14ac:dyDescent="0.25">
      <c r="L165" s="75"/>
      <c r="M165" s="75"/>
      <c r="Q165" s="38"/>
      <c r="R165" s="125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5"/>
      <c r="AF165" s="125"/>
      <c r="AG165" s="47"/>
      <c r="AH165" s="76"/>
      <c r="AI165" s="77"/>
      <c r="AJ165" s="273"/>
    </row>
    <row r="166" spans="1:36" ht="15.75" x14ac:dyDescent="0.25">
      <c r="L166" s="75"/>
      <c r="M166" s="75"/>
      <c r="Q166" s="38" t="s">
        <v>411</v>
      </c>
      <c r="R166" s="125"/>
      <c r="S166" s="139">
        <v>9.01E-2</v>
      </c>
      <c r="T166" s="139">
        <v>0.10539999999999999</v>
      </c>
      <c r="U166" s="139">
        <v>4.6699999999999998E-2</v>
      </c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25"/>
      <c r="AF166" s="125"/>
      <c r="AG166" s="47"/>
      <c r="AH166" s="76"/>
      <c r="AI166" s="77"/>
      <c r="AJ166" s="273"/>
    </row>
    <row r="167" spans="1:36" ht="15.75" x14ac:dyDescent="0.25">
      <c r="L167" s="75"/>
      <c r="M167" s="75"/>
      <c r="Q167" s="38" t="s">
        <v>412</v>
      </c>
      <c r="R167" s="125"/>
      <c r="S167" s="137">
        <v>0.1</v>
      </c>
      <c r="T167" s="137">
        <v>0.1</v>
      </c>
      <c r="U167" s="137">
        <v>0.1</v>
      </c>
      <c r="V167" s="137">
        <v>0.1</v>
      </c>
      <c r="W167" s="137">
        <v>0.1</v>
      </c>
      <c r="X167" s="137">
        <v>0.1</v>
      </c>
      <c r="Y167" s="137">
        <v>0.1</v>
      </c>
      <c r="Z167" s="137">
        <v>0.1</v>
      </c>
      <c r="AA167" s="137">
        <v>0.1</v>
      </c>
      <c r="AB167" s="137">
        <v>0.1</v>
      </c>
      <c r="AC167" s="137">
        <v>0.1</v>
      </c>
      <c r="AD167" s="137">
        <v>0.1</v>
      </c>
      <c r="AE167" s="137">
        <v>0.1</v>
      </c>
      <c r="AF167" s="125"/>
      <c r="AG167" s="47"/>
      <c r="AH167" s="76"/>
      <c r="AI167" s="77"/>
      <c r="AJ167" s="273"/>
    </row>
    <row r="168" spans="1:36" ht="15.75" x14ac:dyDescent="0.25">
      <c r="L168" s="75"/>
      <c r="M168" s="75"/>
      <c r="Q168" s="38" t="s">
        <v>406</v>
      </c>
      <c r="R168" s="125"/>
      <c r="S168" s="138">
        <f>S166-S167</f>
        <v>-9.900000000000006E-3</v>
      </c>
      <c r="T168" s="138">
        <f>T166-T167</f>
        <v>5.3999999999999881E-3</v>
      </c>
      <c r="U168" s="138">
        <f>U166-U167</f>
        <v>-5.3300000000000007E-2</v>
      </c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25"/>
      <c r="AF168" s="125"/>
      <c r="AG168" s="47"/>
      <c r="AH168" s="76"/>
      <c r="AI168" s="77"/>
      <c r="AJ168" s="273"/>
    </row>
    <row r="169" spans="1:36" ht="15.75" x14ac:dyDescent="0.25">
      <c r="Q169" s="38"/>
      <c r="S169" s="278"/>
      <c r="T169" s="130"/>
      <c r="U169" s="130"/>
      <c r="V169" s="133"/>
      <c r="W169" s="133"/>
      <c r="X169" s="133"/>
      <c r="Y169" s="130"/>
      <c r="Z169" s="130"/>
      <c r="AA169" s="130"/>
      <c r="AB169" s="130"/>
      <c r="AC169" s="130"/>
      <c r="AD169" s="278"/>
      <c r="AE169" s="278"/>
      <c r="AF169" s="130"/>
      <c r="AG169" s="47"/>
      <c r="AJ169" s="274"/>
    </row>
    <row r="170" spans="1:36" ht="15.75" x14ac:dyDescent="0.25">
      <c r="Q170" s="38" t="s">
        <v>413</v>
      </c>
      <c r="S170" s="140">
        <v>256248</v>
      </c>
      <c r="T170" s="201">
        <v>250107</v>
      </c>
      <c r="U170" s="202">
        <v>305940</v>
      </c>
      <c r="V170" s="131"/>
      <c r="W170" s="133"/>
      <c r="X170" s="133"/>
      <c r="Y170" s="130"/>
      <c r="Z170" s="130"/>
      <c r="AA170" s="130"/>
      <c r="AB170" s="130"/>
      <c r="AC170" s="130"/>
      <c r="AD170" s="278"/>
      <c r="AE170" s="278"/>
      <c r="AF170" s="130"/>
      <c r="AG170" s="47"/>
      <c r="AJ170" s="274"/>
    </row>
    <row r="171" spans="1:36" ht="15.75" x14ac:dyDescent="0.25">
      <c r="Q171" s="38" t="s">
        <v>414</v>
      </c>
      <c r="S171" s="131">
        <v>275000</v>
      </c>
      <c r="T171" s="131">
        <v>275000</v>
      </c>
      <c r="U171" s="131">
        <v>275000</v>
      </c>
      <c r="V171" s="131">
        <v>293000</v>
      </c>
      <c r="W171" s="131">
        <v>293000</v>
      </c>
      <c r="X171" s="131">
        <v>293000</v>
      </c>
      <c r="Y171" s="131">
        <v>300000</v>
      </c>
      <c r="Z171" s="131">
        <v>300000</v>
      </c>
      <c r="AA171" s="131">
        <v>300000</v>
      </c>
      <c r="AB171" s="131">
        <v>300000</v>
      </c>
      <c r="AC171" s="131">
        <v>300000</v>
      </c>
      <c r="AD171" s="131">
        <v>300000</v>
      </c>
      <c r="AE171" s="131">
        <v>300000</v>
      </c>
      <c r="AF171" s="130"/>
      <c r="AG171" s="47"/>
      <c r="AJ171" s="274"/>
    </row>
    <row r="172" spans="1:36" ht="15.75" x14ac:dyDescent="0.25">
      <c r="L172" s="75"/>
      <c r="M172" s="75"/>
      <c r="Q172" s="38" t="s">
        <v>406</v>
      </c>
      <c r="R172" s="125"/>
      <c r="S172" s="128">
        <f>S171-S170</f>
        <v>18752</v>
      </c>
      <c r="T172" s="128">
        <f>T171-T170</f>
        <v>24893</v>
      </c>
      <c r="U172" s="128">
        <f>U171-U170</f>
        <v>-30940</v>
      </c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5"/>
      <c r="AF172" s="125"/>
      <c r="AG172" s="47"/>
      <c r="AH172" s="76"/>
      <c r="AI172" s="77"/>
      <c r="AJ172" s="90"/>
    </row>
    <row r="173" spans="1:36" ht="15.75" x14ac:dyDescent="0.25">
      <c r="Q173" s="38"/>
      <c r="S173" s="131"/>
      <c r="T173" s="134"/>
      <c r="U173" s="135"/>
      <c r="V173" s="131"/>
      <c r="W173" s="133"/>
      <c r="X173" s="133"/>
      <c r="Y173" s="130"/>
      <c r="Z173" s="130"/>
      <c r="AA173" s="130"/>
      <c r="AB173" s="130"/>
      <c r="AC173" s="130"/>
      <c r="AD173" s="278"/>
      <c r="AE173" s="278"/>
      <c r="AF173" s="130"/>
      <c r="AG173" s="47"/>
    </row>
    <row r="174" spans="1:36" s="78" customFormat="1" ht="15.75" x14ac:dyDescent="0.25">
      <c r="A174"/>
      <c r="B174"/>
      <c r="C174" s="74"/>
      <c r="D174" s="74"/>
      <c r="E174"/>
      <c r="F174" s="74"/>
      <c r="G174" s="295"/>
      <c r="H174" s="295"/>
      <c r="I174" s="296"/>
      <c r="J174" s="74"/>
      <c r="K174" s="74"/>
      <c r="L174" s="74"/>
      <c r="M174" s="74"/>
      <c r="N174" s="38"/>
      <c r="O174" s="38"/>
      <c r="P174" s="38"/>
      <c r="Q174" s="38"/>
      <c r="R174" s="278"/>
      <c r="S174" s="131"/>
      <c r="T174" s="134"/>
      <c r="U174" s="135"/>
      <c r="V174" s="131"/>
      <c r="W174" s="133"/>
      <c r="X174" s="133"/>
      <c r="Y174" s="130"/>
      <c r="Z174" s="130"/>
      <c r="AA174" s="130"/>
      <c r="AB174" s="130"/>
      <c r="AC174" s="130"/>
      <c r="AD174" s="278"/>
      <c r="AE174" s="278"/>
      <c r="AF174" s="130"/>
      <c r="AG174" s="47"/>
      <c r="AI174" s="79"/>
      <c r="AJ174"/>
    </row>
    <row r="175" spans="1:36" s="78" customFormat="1" ht="15.75" x14ac:dyDescent="0.25">
      <c r="A175"/>
      <c r="B175"/>
      <c r="C175" s="74"/>
      <c r="D175" s="74"/>
      <c r="E175"/>
      <c r="F175" s="74"/>
      <c r="G175" s="295"/>
      <c r="H175" s="295"/>
      <c r="I175" s="296"/>
      <c r="J175" s="74"/>
      <c r="K175" s="74"/>
      <c r="L175" s="74"/>
      <c r="M175" s="74"/>
      <c r="N175" s="38"/>
      <c r="O175" s="38"/>
      <c r="P175" s="38"/>
      <c r="Q175" s="38" t="s">
        <v>415</v>
      </c>
      <c r="R175" s="278"/>
      <c r="S175" s="140">
        <v>4126</v>
      </c>
      <c r="T175" s="201">
        <v>74711</v>
      </c>
      <c r="U175" s="202">
        <v>-101036</v>
      </c>
      <c r="V175" s="131"/>
      <c r="W175" s="133"/>
      <c r="X175" s="133"/>
      <c r="Y175" s="130"/>
      <c r="Z175" s="130"/>
      <c r="AA175" s="130"/>
      <c r="AB175" s="130"/>
      <c r="AC175" s="130"/>
      <c r="AD175" s="278"/>
      <c r="AE175" s="278"/>
      <c r="AF175" s="130"/>
      <c r="AG175" s="47"/>
      <c r="AI175" s="79"/>
      <c r="AJ175"/>
    </row>
    <row r="176" spans="1:36" s="78" customFormat="1" ht="15.75" x14ac:dyDescent="0.25">
      <c r="A176"/>
      <c r="B176"/>
      <c r="C176" s="74"/>
      <c r="D176" s="74"/>
      <c r="E176"/>
      <c r="F176" s="74"/>
      <c r="G176" s="295"/>
      <c r="H176" s="295"/>
      <c r="I176" s="296"/>
      <c r="J176" s="74"/>
      <c r="K176" s="74"/>
      <c r="L176" s="74"/>
      <c r="M176" s="74"/>
      <c r="N176" s="38"/>
      <c r="O176" s="38"/>
      <c r="P176" s="38"/>
      <c r="Q176" s="38" t="s">
        <v>416</v>
      </c>
      <c r="R176" s="278"/>
      <c r="S176" s="131">
        <f>S163*0.1</f>
        <v>24539.487342857145</v>
      </c>
      <c r="T176" s="131">
        <f>T163*0.1</f>
        <v>28123.852117857146</v>
      </c>
      <c r="U176" s="131">
        <f>U163*0.1</f>
        <v>35153.603477857148</v>
      </c>
      <c r="V176" s="131">
        <f>V163*0.1</f>
        <v>37877.609327857142</v>
      </c>
      <c r="W176" s="131">
        <f t="shared" ref="W176:AC176" si="36">W163*0.1</f>
        <v>44460.099457857141</v>
      </c>
      <c r="X176" s="131">
        <f>X163*0.1</f>
        <v>48899.89441785714</v>
      </c>
      <c r="Y176" s="131">
        <f t="shared" si="36"/>
        <v>46609.959717857135</v>
      </c>
      <c r="Z176" s="131">
        <f t="shared" si="36"/>
        <v>48031.886800000007</v>
      </c>
      <c r="AA176" s="131">
        <f t="shared" si="36"/>
        <v>47006.840430000004</v>
      </c>
      <c r="AB176" s="131">
        <f t="shared" si="36"/>
        <v>54142.156279999996</v>
      </c>
      <c r="AC176" s="131">
        <f t="shared" si="36"/>
        <v>48250.101940000008</v>
      </c>
      <c r="AD176" s="131">
        <f>AD163*0.1+2995</f>
        <v>36904.511950000007</v>
      </c>
      <c r="AE176" s="278">
        <f>SUM(S176:AD176)</f>
        <v>500000.00326000003</v>
      </c>
      <c r="AF176" s="130"/>
      <c r="AG176" s="47"/>
      <c r="AI176" s="79"/>
      <c r="AJ176"/>
    </row>
    <row r="177" spans="1:36" ht="15.75" x14ac:dyDescent="0.25">
      <c r="L177" s="75"/>
      <c r="M177" s="75"/>
      <c r="Q177" s="38" t="s">
        <v>406</v>
      </c>
      <c r="R177" s="125"/>
      <c r="S177" s="128">
        <f>S175-S176</f>
        <v>-20413.487342857145</v>
      </c>
      <c r="T177" s="128">
        <f>T175-T176</f>
        <v>46587.147882142854</v>
      </c>
      <c r="U177" s="128">
        <f>U175-U176</f>
        <v>-136189.60347785713</v>
      </c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5"/>
      <c r="AF177" s="125"/>
      <c r="AG177" s="47"/>
      <c r="AH177" s="76"/>
      <c r="AI177" s="77"/>
      <c r="AJ177" s="90"/>
    </row>
    <row r="178" spans="1:36" s="78" customFormat="1" ht="15.75" x14ac:dyDescent="0.25">
      <c r="A178"/>
      <c r="B178"/>
      <c r="C178" s="74"/>
      <c r="D178" s="74"/>
      <c r="E178"/>
      <c r="F178" s="74"/>
      <c r="G178" s="295"/>
      <c r="H178" s="295"/>
      <c r="I178" s="296"/>
      <c r="J178" s="74"/>
      <c r="K178" s="74"/>
      <c r="L178" s="74"/>
      <c r="M178" s="74"/>
      <c r="N178" s="38"/>
      <c r="O178" s="38"/>
      <c r="P178" s="38"/>
      <c r="R178" s="278"/>
      <c r="S178" s="131"/>
      <c r="T178" s="134"/>
      <c r="U178" s="135"/>
      <c r="V178" s="131"/>
      <c r="W178" s="133"/>
      <c r="X178" s="133"/>
      <c r="Y178" s="130"/>
      <c r="Z178" s="130"/>
      <c r="AA178" s="130"/>
      <c r="AB178" s="130"/>
      <c r="AC178" s="130"/>
      <c r="AD178" s="278"/>
      <c r="AE178" s="278"/>
      <c r="AF178" s="130"/>
      <c r="AG178" s="47"/>
      <c r="AI178" s="79"/>
      <c r="AJ178"/>
    </row>
    <row r="179" spans="1:36" s="78" customFormat="1" ht="15.75" x14ac:dyDescent="0.25">
      <c r="A179"/>
      <c r="B179"/>
      <c r="C179" s="74"/>
      <c r="D179" s="74"/>
      <c r="E179"/>
      <c r="F179" s="74"/>
      <c r="G179" s="295"/>
      <c r="H179" s="295"/>
      <c r="I179" s="296"/>
      <c r="J179" s="74"/>
      <c r="K179" s="74"/>
      <c r="L179" s="74"/>
      <c r="M179" s="74"/>
      <c r="N179" s="38"/>
      <c r="O179" s="38"/>
      <c r="P179" s="38"/>
      <c r="R179" s="278"/>
      <c r="S179" s="80"/>
      <c r="T179" s="3"/>
      <c r="U179" s="8"/>
      <c r="V179" s="80"/>
      <c r="W179" s="81"/>
      <c r="X179" s="81"/>
      <c r="AD179" s="277"/>
      <c r="AE179" s="277"/>
      <c r="AG179" s="47"/>
      <c r="AI179" s="79"/>
      <c r="AJ179"/>
    </row>
    <row r="180" spans="1:36" s="78" customFormat="1" ht="15.75" x14ac:dyDescent="0.25">
      <c r="A180"/>
      <c r="B180"/>
      <c r="C180" s="74"/>
      <c r="D180" s="74"/>
      <c r="E180"/>
      <c r="F180" s="74"/>
      <c r="G180" s="295"/>
      <c r="H180" s="295"/>
      <c r="I180" s="296"/>
      <c r="J180" s="74"/>
      <c r="K180" s="74"/>
      <c r="L180" s="74"/>
      <c r="M180" s="74"/>
      <c r="N180" s="38"/>
      <c r="O180" s="38"/>
      <c r="P180" s="38"/>
      <c r="R180" s="278"/>
      <c r="S180" s="80"/>
      <c r="T180" s="3"/>
      <c r="U180" s="8"/>
      <c r="V180" s="80"/>
      <c r="W180" s="81"/>
      <c r="X180" s="81"/>
      <c r="AD180" s="277"/>
      <c r="AE180" s="277"/>
      <c r="AG180" s="47"/>
      <c r="AI180" s="79"/>
      <c r="AJ180"/>
    </row>
    <row r="181" spans="1:36" s="78" customFormat="1" ht="15.75" x14ac:dyDescent="0.25">
      <c r="A181"/>
      <c r="B181"/>
      <c r="C181" s="74"/>
      <c r="D181" s="74"/>
      <c r="E181"/>
      <c r="F181" s="74"/>
      <c r="G181" s="295"/>
      <c r="H181" s="295"/>
      <c r="I181" s="296"/>
      <c r="J181" s="74"/>
      <c r="K181" s="74"/>
      <c r="L181" s="74"/>
      <c r="M181" s="74"/>
      <c r="N181" s="38"/>
      <c r="O181" s="38"/>
      <c r="P181" s="38"/>
      <c r="R181" s="278"/>
      <c r="S181" s="80"/>
      <c r="T181" s="3"/>
      <c r="U181" s="8"/>
      <c r="V181" s="80"/>
      <c r="W181" s="81"/>
      <c r="X181" s="81"/>
      <c r="AD181" s="277"/>
      <c r="AE181" s="277"/>
      <c r="AG181" s="47"/>
      <c r="AI181" s="79"/>
      <c r="AJ181"/>
    </row>
    <row r="182" spans="1:36" s="78" customFormat="1" ht="15.75" x14ac:dyDescent="0.25">
      <c r="A182"/>
      <c r="B182"/>
      <c r="C182" s="74"/>
      <c r="D182" s="74"/>
      <c r="E182"/>
      <c r="F182" s="74"/>
      <c r="G182" s="295"/>
      <c r="H182" s="295"/>
      <c r="I182" s="296"/>
      <c r="J182" s="74"/>
      <c r="K182" s="74"/>
      <c r="L182" s="74"/>
      <c r="M182" s="74"/>
      <c r="N182" s="38"/>
      <c r="O182" s="38"/>
      <c r="P182" s="38"/>
      <c r="R182" s="278"/>
      <c r="S182" s="80"/>
      <c r="T182" s="3"/>
      <c r="U182" s="8"/>
      <c r="V182" s="80"/>
      <c r="W182" s="81"/>
      <c r="X182" s="81"/>
      <c r="AD182" s="277"/>
      <c r="AE182" s="277"/>
      <c r="AG182" s="47"/>
      <c r="AI182" s="79"/>
      <c r="AJ182"/>
    </row>
    <row r="183" spans="1:36" s="78" customFormat="1" ht="15.75" x14ac:dyDescent="0.25">
      <c r="A183"/>
      <c r="B183"/>
      <c r="C183" s="74"/>
      <c r="D183" s="74"/>
      <c r="E183"/>
      <c r="F183" s="74"/>
      <c r="G183" s="295"/>
      <c r="H183" s="295"/>
      <c r="I183" s="296"/>
      <c r="J183" s="74"/>
      <c r="K183" s="74"/>
      <c r="L183" s="74"/>
      <c r="M183" s="74"/>
      <c r="N183" s="38"/>
      <c r="O183" s="38"/>
      <c r="P183" s="38"/>
      <c r="R183" s="278"/>
      <c r="S183" s="80"/>
      <c r="T183" s="3"/>
      <c r="U183" s="8"/>
      <c r="V183" s="80"/>
      <c r="W183" s="81"/>
      <c r="X183" s="81"/>
      <c r="AD183" s="277"/>
      <c r="AE183" s="277"/>
      <c r="AG183" s="47"/>
      <c r="AI183" s="79"/>
      <c r="AJ183"/>
    </row>
    <row r="184" spans="1:36" s="78" customFormat="1" ht="15.75" x14ac:dyDescent="0.25">
      <c r="A184"/>
      <c r="B184"/>
      <c r="C184" s="74"/>
      <c r="D184" s="74"/>
      <c r="E184"/>
      <c r="F184" s="74"/>
      <c r="G184" s="295"/>
      <c r="H184" s="295"/>
      <c r="I184" s="296"/>
      <c r="J184" s="74"/>
      <c r="K184" s="74"/>
      <c r="L184" s="74"/>
      <c r="M184" s="74"/>
      <c r="N184" s="38"/>
      <c r="O184" s="38"/>
      <c r="P184" s="38"/>
      <c r="R184" s="278"/>
      <c r="S184" s="80"/>
      <c r="T184" s="3"/>
      <c r="U184" s="8"/>
      <c r="V184" s="80"/>
      <c r="W184" s="81"/>
      <c r="X184" s="81"/>
      <c r="AD184" s="277"/>
      <c r="AE184" s="277"/>
      <c r="AG184" s="79"/>
      <c r="AI184" s="79"/>
      <c r="AJ184"/>
    </row>
    <row r="185" spans="1:36" s="78" customFormat="1" x14ac:dyDescent="0.25">
      <c r="A185"/>
      <c r="B185"/>
      <c r="C185" s="74"/>
      <c r="D185" s="74"/>
      <c r="E185"/>
      <c r="F185" s="74"/>
      <c r="G185" s="295"/>
      <c r="H185" s="295"/>
      <c r="I185" s="296"/>
      <c r="J185" s="74"/>
      <c r="K185" s="74"/>
      <c r="L185" s="74"/>
      <c r="M185" s="74"/>
      <c r="N185" s="38"/>
      <c r="O185" s="38"/>
      <c r="P185" s="38"/>
      <c r="R185" s="278"/>
      <c r="S185" s="80"/>
      <c r="T185" s="80"/>
      <c r="U185" s="80"/>
      <c r="V185" s="80"/>
      <c r="W185" s="81"/>
      <c r="X185" s="81"/>
      <c r="AD185" s="277"/>
      <c r="AE185" s="277"/>
      <c r="AG185" s="79"/>
      <c r="AI185" s="79"/>
      <c r="AJ185"/>
    </row>
  </sheetData>
  <protectedRanges>
    <protectedRange algorithmName="SHA-512" hashValue="p1zaDFJkdjN+AnmfzFBjbFKRbWYOQQg+cT1DzqDhOzloqO83qQsI/t5kPN30lmEEP3guKkM4uc2fEPeaztRBYA==" saltValue="+Rl2QHA+Wv31lMWEuJdOoQ==" spinCount="100000" sqref="G9:H9" name="Nolan_7_2"/>
    <protectedRange algorithmName="SHA-512" hashValue="p1zaDFJkdjN+AnmfzFBjbFKRbWYOQQg+cT1DzqDhOzloqO83qQsI/t5kPN30lmEEP3guKkM4uc2fEPeaztRBYA==" saltValue="+Rl2QHA+Wv31lMWEuJdOoQ==" spinCount="100000" sqref="G12:H12" name="Nolan_21"/>
    <protectedRange algorithmName="SHA-512" hashValue="7kKMQlnDQnaF2pWl7cOum7Q4v5K+/RuncQjNwOX/9VMC6IpRzPVvdGKHyOugwdH0ncs0E84+2rLp7ry6I8ErdA==" saltValue="jtLfJTgX02XzBGTPnDDc1A==" spinCount="100000" sqref="E13" name="Peggy_1"/>
    <protectedRange algorithmName="SHA-512" hashValue="p1zaDFJkdjN+AnmfzFBjbFKRbWYOQQg+cT1DzqDhOzloqO83qQsI/t5kPN30lmEEP3guKkM4uc2fEPeaztRBYA==" saltValue="+Rl2QHA+Wv31lMWEuJdOoQ==" spinCount="100000" sqref="G13:H13" name="Nolan"/>
    <protectedRange algorithmName="SHA-512" hashValue="7kKMQlnDQnaF2pWl7cOum7Q4v5K+/RuncQjNwOX/9VMC6IpRzPVvdGKHyOugwdH0ncs0E84+2rLp7ry6I8ErdA==" saltValue="jtLfJTgX02XzBGTPnDDc1A==" spinCount="100000" sqref="E14" name="Peggy_11"/>
    <protectedRange algorithmName="SHA-512" hashValue="p1zaDFJkdjN+AnmfzFBjbFKRbWYOQQg+cT1DzqDhOzloqO83qQsI/t5kPN30lmEEP3guKkM4uc2fEPeaztRBYA==" saltValue="+Rl2QHA+Wv31lMWEuJdOoQ==" spinCount="100000" sqref="G14:H14" name="Nolan_9"/>
    <protectedRange algorithmName="SHA-512" hashValue="7kKMQlnDQnaF2pWl7cOum7Q4v5K+/RuncQjNwOX/9VMC6IpRzPVvdGKHyOugwdH0ncs0E84+2rLp7ry6I8ErdA==" saltValue="jtLfJTgX02XzBGTPnDDc1A==" spinCount="100000" sqref="E15" name="Peggy_3"/>
    <protectedRange algorithmName="SHA-512" hashValue="p1zaDFJkdjN+AnmfzFBjbFKRbWYOQQg+cT1DzqDhOzloqO83qQsI/t5kPN30lmEEP3guKkM4uc2fEPeaztRBYA==" saltValue="+Rl2QHA+Wv31lMWEuJdOoQ==" spinCount="100000" sqref="G15:H15" name="Nolan_2"/>
    <protectedRange algorithmName="SHA-512" hashValue="p1zaDFJkdjN+AnmfzFBjbFKRbWYOQQg+cT1DzqDhOzloqO83qQsI/t5kPN30lmEEP3guKkM4uc2fEPeaztRBYA==" saltValue="+Rl2QHA+Wv31lMWEuJdOoQ==" spinCount="100000" sqref="G17:H17" name="Nolan_13_1"/>
    <protectedRange algorithmName="SHA-512" hashValue="p1zaDFJkdjN+AnmfzFBjbFKRbWYOQQg+cT1DzqDhOzloqO83qQsI/t5kPN30lmEEP3guKkM4uc2fEPeaztRBYA==" saltValue="+Rl2QHA+Wv31lMWEuJdOoQ==" spinCount="100000" sqref="H31" name="Nolan_3"/>
    <protectedRange algorithmName="SHA-512" hashValue="7kKMQlnDQnaF2pWl7cOum7Q4v5K+/RuncQjNwOX/9VMC6IpRzPVvdGKHyOugwdH0ncs0E84+2rLp7ry6I8ErdA==" saltValue="jtLfJTgX02XzBGTPnDDc1A==" spinCount="100000" sqref="E32" name="Peggy_2"/>
    <protectedRange algorithmName="SHA-512" hashValue="p1zaDFJkdjN+AnmfzFBjbFKRbWYOQQg+cT1DzqDhOzloqO83qQsI/t5kPN30lmEEP3guKkM4uc2fEPeaztRBYA==" saltValue="+Rl2QHA+Wv31lMWEuJdOoQ==" spinCount="100000" sqref="G32:H32" name="Nolan_1"/>
  </protectedRanges>
  <autoFilter ref="A2:AK2" xr:uid="{12A63D3F-80EA-4B81-A87B-C538A27F25CA}"/>
  <sortState xmlns:xlrd2="http://schemas.microsoft.com/office/spreadsheetml/2017/richdata2" ref="A87:AK131">
    <sortCondition ref="A87:A131"/>
  </sortState>
  <mergeCells count="1">
    <mergeCell ref="S1:AD1"/>
  </mergeCells>
  <phoneticPr fontId="5" type="noConversion"/>
  <conditionalFormatting sqref="AH154 AH40:AH41 AH54:AH56 AH64:AH65 AH23:AH26 AH44:AH47 AH49:AH52 AH59:AH62 AH84:AH85 AH134:AH137 AH5:AH21 AH28:AH38 AH139:AH141 AH69:AH80 AH144:AH151 AH87:AH132">
    <cfRule type="cellIs" dxfId="1688" priority="303" operator="lessThan">
      <formula>Q5</formula>
    </cfRule>
    <cfRule type="cellIs" dxfId="1687" priority="304" operator="greaterThan">
      <formula>Q5</formula>
    </cfRule>
    <cfRule type="cellIs" dxfId="1686" priority="305" operator="equal">
      <formula>Q5</formula>
    </cfRule>
  </conditionalFormatting>
  <conditionalFormatting sqref="J169:J171 J173:J176 J178:J1048576 J153:J163 J134:J137 J1:J35 J139:J151 J37:J39 J41:J132">
    <cfRule type="cellIs" dxfId="1685" priority="297" operator="equal">
      <formula>"no"</formula>
    </cfRule>
    <cfRule type="cellIs" dxfId="1684" priority="298" operator="equal">
      <formula>"yes"</formula>
    </cfRule>
  </conditionalFormatting>
  <conditionalFormatting sqref="J29:J31">
    <cfRule type="cellIs" dxfId="1683" priority="295" operator="equal">
      <formula>"no"</formula>
    </cfRule>
    <cfRule type="cellIs" dxfId="1682" priority="296" operator="equal">
      <formula>"yes"</formula>
    </cfRule>
  </conditionalFormatting>
  <conditionalFormatting sqref="J44">
    <cfRule type="cellIs" dxfId="1681" priority="293" operator="equal">
      <formula>"no"</formula>
    </cfRule>
    <cfRule type="cellIs" dxfId="1680" priority="294" operator="equal">
      <formula>"yes"</formula>
    </cfRule>
  </conditionalFormatting>
  <conditionalFormatting sqref="Q40:Q41 Q58:Q61 Q64 Q23:Q25 Q44:Q46 Q49:Q51 Q28:Q30 Q36:Q37 Q123:Q131 Q84 Q69:Q75 Q134:Q137 Q88:Q109 Q5:Q20 Q77:Q80 Q139:Q151">
    <cfRule type="cellIs" dxfId="1679" priority="292" operator="equal">
      <formula>0</formula>
    </cfRule>
  </conditionalFormatting>
  <conditionalFormatting sqref="AH58">
    <cfRule type="cellIs" dxfId="1678" priority="288" operator="lessThan">
      <formula>Q58</formula>
    </cfRule>
    <cfRule type="cellIs" dxfId="1677" priority="289" operator="greaterThan">
      <formula>Q58</formula>
    </cfRule>
    <cfRule type="cellIs" dxfId="1676" priority="290" operator="equal">
      <formula>Q58</formula>
    </cfRule>
  </conditionalFormatting>
  <conditionalFormatting sqref="D169:I171 D173:I176 D178:I1048576 D153:I163 I44:I45 G98:I106 G46:I46 D44:F46 G107:H109 I81 K149:P151 E69:E70 F68:F70 D134:I137 K140:P140 K134:P137 D140:I151 D1:I43 D82:I97 D47:I66 D138 F138 G69:I80 D67:D81 E71:F81 C145:I151 N138:P138 J36:P36 J40 C136:D136 I106:I122 D98:F122 D123:I132">
    <cfRule type="cellIs" dxfId="1675" priority="287" operator="equal">
      <formula>"TBD"</formula>
    </cfRule>
  </conditionalFormatting>
  <conditionalFormatting sqref="S156:AD156">
    <cfRule type="cellIs" dxfId="1674" priority="264" operator="equal">
      <formula>0</formula>
    </cfRule>
    <cfRule type="cellIs" dxfId="1673" priority="285" operator="lessThan">
      <formula>0</formula>
    </cfRule>
    <cfRule type="cellIs" dxfId="1672" priority="286" operator="greaterThan">
      <formula>0</formula>
    </cfRule>
  </conditionalFormatting>
  <conditionalFormatting sqref="J164:J168">
    <cfRule type="cellIs" dxfId="1671" priority="283" operator="equal">
      <formula>"no"</formula>
    </cfRule>
    <cfRule type="cellIs" dxfId="1670" priority="284" operator="equal">
      <formula>"yes"</formula>
    </cfRule>
  </conditionalFormatting>
  <conditionalFormatting sqref="D164:I168">
    <cfRule type="cellIs" dxfId="1669" priority="282" operator="equal">
      <formula>"TBD"</formula>
    </cfRule>
  </conditionalFormatting>
  <conditionalFormatting sqref="S164:AD165">
    <cfRule type="cellIs" dxfId="1668" priority="280" operator="lessThan">
      <formula>0</formula>
    </cfRule>
    <cfRule type="cellIs" dxfId="1667" priority="281" operator="greaterThan">
      <formula>0</formula>
    </cfRule>
  </conditionalFormatting>
  <conditionalFormatting sqref="J172">
    <cfRule type="cellIs" dxfId="1666" priority="278" operator="equal">
      <formula>"no"</formula>
    </cfRule>
    <cfRule type="cellIs" dxfId="1665" priority="279" operator="equal">
      <formula>"yes"</formula>
    </cfRule>
  </conditionalFormatting>
  <conditionalFormatting sqref="D172:I172">
    <cfRule type="cellIs" dxfId="1664" priority="277" operator="equal">
      <formula>"TBD"</formula>
    </cfRule>
  </conditionalFormatting>
  <conditionalFormatting sqref="S172:AD172">
    <cfRule type="cellIs" dxfId="1663" priority="275" operator="lessThan">
      <formula>0</formula>
    </cfRule>
    <cfRule type="cellIs" dxfId="1662" priority="276" operator="greaterThan">
      <formula>0</formula>
    </cfRule>
  </conditionalFormatting>
  <conditionalFormatting sqref="J177">
    <cfRule type="cellIs" dxfId="1661" priority="273" operator="equal">
      <formula>"no"</formula>
    </cfRule>
    <cfRule type="cellIs" dxfId="1660" priority="274" operator="equal">
      <formula>"yes"</formula>
    </cfRule>
  </conditionalFormatting>
  <conditionalFormatting sqref="D177:I177">
    <cfRule type="cellIs" dxfId="1659" priority="272" operator="equal">
      <formula>"TBD"</formula>
    </cfRule>
  </conditionalFormatting>
  <conditionalFormatting sqref="S177:AD177">
    <cfRule type="cellIs" dxfId="1658" priority="270" operator="lessThan">
      <formula>0</formula>
    </cfRule>
    <cfRule type="cellIs" dxfId="1657" priority="271" operator="greaterThan">
      <formula>0</formula>
    </cfRule>
  </conditionalFormatting>
  <conditionalFormatting sqref="R156">
    <cfRule type="cellIs" dxfId="1656" priority="268" operator="lessThan">
      <formula>0</formula>
    </cfRule>
    <cfRule type="cellIs" dxfId="1655" priority="269" operator="greaterThan">
      <formula>0</formula>
    </cfRule>
  </conditionalFormatting>
  <conditionalFormatting sqref="S160:U160">
    <cfRule type="cellIs" dxfId="1654" priority="265" operator="equal">
      <formula>0</formula>
    </cfRule>
    <cfRule type="cellIs" dxfId="1653" priority="266" operator="lessThan">
      <formula>0</formula>
    </cfRule>
    <cfRule type="cellIs" dxfId="1652" priority="267" operator="greaterThan">
      <formula>0</formula>
    </cfRule>
  </conditionalFormatting>
  <conditionalFormatting sqref="S168:U168">
    <cfRule type="cellIs" dxfId="1651" priority="261" operator="lessThan">
      <formula>0</formula>
    </cfRule>
    <cfRule type="cellIs" dxfId="1650" priority="262" operator="equal">
      <formula>0</formula>
    </cfRule>
    <cfRule type="cellIs" dxfId="1649" priority="263" operator="greaterThan">
      <formula>0</formula>
    </cfRule>
  </conditionalFormatting>
  <conditionalFormatting sqref="AH4">
    <cfRule type="cellIs" dxfId="1648" priority="258" operator="lessThan">
      <formula>Q4</formula>
    </cfRule>
    <cfRule type="cellIs" dxfId="1647" priority="259" operator="greaterThan">
      <formula>Q4</formula>
    </cfRule>
    <cfRule type="cellIs" dxfId="1646" priority="260" operator="equal">
      <formula>Q4</formula>
    </cfRule>
  </conditionalFormatting>
  <conditionalFormatting sqref="J4">
    <cfRule type="cellIs" dxfId="1645" priority="256" operator="equal">
      <formula>"no"</formula>
    </cfRule>
    <cfRule type="cellIs" dxfId="1644" priority="257" operator="equal">
      <formula>"yes"</formula>
    </cfRule>
  </conditionalFormatting>
  <conditionalFormatting sqref="Q4">
    <cfRule type="cellIs" dxfId="1643" priority="255" operator="equal">
      <formula>0</formula>
    </cfRule>
  </conditionalFormatting>
  <conditionalFormatting sqref="D4:I4 F5:F7">
    <cfRule type="cellIs" dxfId="1642" priority="254" operator="equal">
      <formula>"TBD"</formula>
    </cfRule>
  </conditionalFormatting>
  <conditionalFormatting sqref="AH142">
    <cfRule type="cellIs" dxfId="1641" priority="248" operator="lessThan">
      <formula>Q142</formula>
    </cfRule>
    <cfRule type="cellIs" dxfId="1640" priority="249" operator="greaterThan">
      <formula>Q142</formula>
    </cfRule>
    <cfRule type="cellIs" dxfId="1639" priority="250" operator="equal">
      <formula>Q142</formula>
    </cfRule>
  </conditionalFormatting>
  <conditionalFormatting sqref="J39">
    <cfRule type="cellIs" dxfId="1638" priority="233" operator="equal">
      <formula>"no"</formula>
    </cfRule>
    <cfRule type="cellIs" dxfId="1637" priority="234" operator="equal">
      <formula>"yes"</formula>
    </cfRule>
  </conditionalFormatting>
  <conditionalFormatting sqref="D39:I39">
    <cfRule type="cellIs" dxfId="1636" priority="232" operator="equal">
      <formula>"TBD"</formula>
    </cfRule>
  </conditionalFormatting>
  <conditionalFormatting sqref="AH42">
    <cfRule type="cellIs" dxfId="1635" priority="229" operator="lessThan">
      <formula>Q42</formula>
    </cfRule>
    <cfRule type="cellIs" dxfId="1634" priority="230" operator="greaterThan">
      <formula>Q42</formula>
    </cfRule>
    <cfRule type="cellIs" dxfId="1633" priority="231" operator="equal">
      <formula>Q42</formula>
    </cfRule>
  </conditionalFormatting>
  <conditionalFormatting sqref="J42">
    <cfRule type="cellIs" dxfId="1632" priority="227" operator="equal">
      <formula>"no"</formula>
    </cfRule>
    <cfRule type="cellIs" dxfId="1631" priority="228" operator="equal">
      <formula>"yes"</formula>
    </cfRule>
  </conditionalFormatting>
  <conditionalFormatting sqref="D42:I42">
    <cfRule type="cellIs" dxfId="1630" priority="226" operator="equal">
      <formula>"TBD"</formula>
    </cfRule>
  </conditionalFormatting>
  <conditionalFormatting sqref="AH82">
    <cfRule type="cellIs" dxfId="1629" priority="223" operator="lessThan">
      <formula>Q82</formula>
    </cfRule>
    <cfRule type="cellIs" dxfId="1628" priority="224" operator="greaterThan">
      <formula>Q82</formula>
    </cfRule>
    <cfRule type="cellIs" dxfId="1627" priority="225" operator="equal">
      <formula>Q82</formula>
    </cfRule>
  </conditionalFormatting>
  <conditionalFormatting sqref="J82">
    <cfRule type="cellIs" dxfId="1626" priority="221" operator="equal">
      <formula>"no"</formula>
    </cfRule>
    <cfRule type="cellIs" dxfId="1625" priority="222" operator="equal">
      <formula>"yes"</formula>
    </cfRule>
  </conditionalFormatting>
  <conditionalFormatting sqref="D82:I82">
    <cfRule type="cellIs" dxfId="1624" priority="220" operator="equal">
      <formula>"TBD"</formula>
    </cfRule>
  </conditionalFormatting>
  <conditionalFormatting sqref="J79:J80">
    <cfRule type="cellIs" dxfId="1623" priority="218" operator="equal">
      <formula>"no"</formula>
    </cfRule>
    <cfRule type="cellIs" dxfId="1622" priority="219" operator="equal">
      <formula>"yes"</formula>
    </cfRule>
  </conditionalFormatting>
  <conditionalFormatting sqref="E79 G79:H79">
    <cfRule type="cellIs" dxfId="1621" priority="217" operator="equal">
      <formula>"TBD"</formula>
    </cfRule>
  </conditionalFormatting>
  <conditionalFormatting sqref="J53:J55">
    <cfRule type="cellIs" dxfId="1620" priority="215" operator="equal">
      <formula>"no"</formula>
    </cfRule>
    <cfRule type="cellIs" dxfId="1619" priority="216" operator="equal">
      <formula>"yes"</formula>
    </cfRule>
  </conditionalFormatting>
  <conditionalFormatting sqref="Q54:Q55">
    <cfRule type="cellIs" dxfId="1618" priority="214" operator="equal">
      <formula>0</formula>
    </cfRule>
  </conditionalFormatting>
  <conditionalFormatting sqref="D53:I55">
    <cfRule type="cellIs" dxfId="1617" priority="213" operator="equal">
      <formula>"TBD"</formula>
    </cfRule>
  </conditionalFormatting>
  <conditionalFormatting sqref="J63:J64">
    <cfRule type="cellIs" dxfId="1616" priority="198" operator="equal">
      <formula>"no"</formula>
    </cfRule>
    <cfRule type="cellIs" dxfId="1615" priority="199" operator="equal">
      <formula>"yes"</formula>
    </cfRule>
  </conditionalFormatting>
  <conditionalFormatting sqref="D63:I64">
    <cfRule type="cellIs" dxfId="1614" priority="196" operator="equal">
      <formula>"TBD"</formula>
    </cfRule>
  </conditionalFormatting>
  <conditionalFormatting sqref="I44:I45 G98:I106 G46:I46 C44:F46 G107:H109 I81 F68:F70 E69:E70 K134:P137 C1:I43 C82:I97 C47:I66 C138:D138 F138 C69:C81 G69:I80 D67:D81 E71:F81 K139:P151 N138:P138 J36:P36 J40 C139:I1048576 I106:I122 C98:F122 C123:I137">
    <cfRule type="containsText" dxfId="1613" priority="194" operator="containsText" text="DEAD">
      <formula>NOT(ISERROR(SEARCH("DEAD",C1)))</formula>
    </cfRule>
    <cfRule type="containsText" dxfId="1612" priority="195" operator="containsText" text="HOLD">
      <formula>NOT(ISERROR(SEARCH("HOLD",C1)))</formula>
    </cfRule>
  </conditionalFormatting>
  <conditionalFormatting sqref="D8:I8">
    <cfRule type="cellIs" dxfId="1611" priority="193" operator="equal">
      <formula>"TBD"</formula>
    </cfRule>
  </conditionalFormatting>
  <conditionalFormatting sqref="D13:I13 I14:I20">
    <cfRule type="cellIs" dxfId="1610" priority="192" operator="equal">
      <formula>"TBD"</formula>
    </cfRule>
  </conditionalFormatting>
  <conditionalFormatting sqref="D14:I14 I15:I20">
    <cfRule type="cellIs" dxfId="1609" priority="191" operator="equal">
      <formula>"TBD"</formula>
    </cfRule>
  </conditionalFormatting>
  <conditionalFormatting sqref="I17:I20 D15:I16">
    <cfRule type="cellIs" dxfId="1608" priority="190" operator="equal">
      <formula>"TBD"</formula>
    </cfRule>
  </conditionalFormatting>
  <conditionalFormatting sqref="AH67:AH68">
    <cfRule type="cellIs" dxfId="1607" priority="187" operator="lessThan">
      <formula>Q67</formula>
    </cfRule>
    <cfRule type="cellIs" dxfId="1606" priority="188" operator="greaterThan">
      <formula>Q67</formula>
    </cfRule>
    <cfRule type="cellIs" dxfId="1605" priority="189" operator="equal">
      <formula>Q67</formula>
    </cfRule>
  </conditionalFormatting>
  <conditionalFormatting sqref="Q67:Q68">
    <cfRule type="cellIs" dxfId="1604" priority="184" operator="equal">
      <formula>0</formula>
    </cfRule>
  </conditionalFormatting>
  <conditionalFormatting sqref="E67:G67 G68 H67:I68 E68">
    <cfRule type="cellIs" dxfId="1603" priority="183" operator="equal">
      <formula>"TBD"</formula>
    </cfRule>
  </conditionalFormatting>
  <conditionalFormatting sqref="C67:C68 G68 H67:I68 E67:G67 E68">
    <cfRule type="containsText" dxfId="1602" priority="181" operator="containsText" text="DEAD">
      <formula>NOT(ISERROR(SEARCH("DEAD",C67)))</formula>
    </cfRule>
    <cfRule type="containsText" dxfId="1601" priority="182" operator="containsText" text="HOLD">
      <formula>NOT(ISERROR(SEARCH("HOLD",C67)))</formula>
    </cfRule>
  </conditionalFormatting>
  <conditionalFormatting sqref="J133">
    <cfRule type="cellIs" dxfId="1600" priority="159" operator="equal">
      <formula>"no"</formula>
    </cfRule>
    <cfRule type="cellIs" dxfId="1599" priority="160" operator="equal">
      <formula>"yes"</formula>
    </cfRule>
  </conditionalFormatting>
  <conditionalFormatting sqref="D133:I133">
    <cfRule type="cellIs" dxfId="1598" priority="158" operator="equal">
      <formula>"TBD"</formula>
    </cfRule>
  </conditionalFormatting>
  <conditionalFormatting sqref="AH152">
    <cfRule type="cellIs" dxfId="1597" priority="155" operator="lessThan">
      <formula>Q152</formula>
    </cfRule>
    <cfRule type="cellIs" dxfId="1596" priority="156" operator="greaterThan">
      <formula>Q152</formula>
    </cfRule>
    <cfRule type="cellIs" dxfId="1595" priority="157" operator="equal">
      <formula>Q152</formula>
    </cfRule>
  </conditionalFormatting>
  <conditionalFormatting sqref="J152">
    <cfRule type="cellIs" dxfId="1594" priority="153" operator="equal">
      <formula>"no"</formula>
    </cfRule>
    <cfRule type="cellIs" dxfId="1593" priority="154" operator="equal">
      <formula>"yes"</formula>
    </cfRule>
  </conditionalFormatting>
  <conditionalFormatting sqref="D152:I152">
    <cfRule type="cellIs" dxfId="1592" priority="152" operator="equal">
      <formula>"TBD"</formula>
    </cfRule>
  </conditionalFormatting>
  <conditionalFormatting sqref="K134:P135 D136:E136 K137:P137 K139:P140 C134:C140 N138:P138 C139:I139">
    <cfRule type="cellIs" dxfId="1591" priority="146" operator="equal">
      <formula>"SOLD"</formula>
    </cfRule>
  </conditionalFormatting>
  <conditionalFormatting sqref="D134:I137 D140:I140 K136:P136 D138 F138">
    <cfRule type="cellIs" dxfId="1590" priority="145" operator="equal">
      <formula>"SOLD"</formula>
    </cfRule>
  </conditionalFormatting>
  <conditionalFormatting sqref="L151:M151">
    <cfRule type="cellIs" dxfId="1589" priority="137" operator="equal">
      <formula>"TBD"</formula>
    </cfRule>
  </conditionalFormatting>
  <conditionalFormatting sqref="K144:M144">
    <cfRule type="cellIs" dxfId="1588" priority="134" operator="equal">
      <formula>"TBD"</formula>
    </cfRule>
  </conditionalFormatting>
  <conditionalFormatting sqref="K144:M144">
    <cfRule type="containsText" dxfId="1587" priority="132" operator="containsText" text="DEAD">
      <formula>NOT(ISERROR(SEARCH("DEAD",K144)))</formula>
    </cfRule>
    <cfRule type="containsText" dxfId="1586" priority="133" operator="containsText" text="HOLD">
      <formula>NOT(ISERROR(SEARCH("HOLD",K144)))</formula>
    </cfRule>
  </conditionalFormatting>
  <conditionalFormatting sqref="Q110:Q111">
    <cfRule type="cellIs" dxfId="1585" priority="123" operator="equal">
      <formula>0</formula>
    </cfRule>
  </conditionalFormatting>
  <conditionalFormatting sqref="G110:H111">
    <cfRule type="cellIs" dxfId="1584" priority="122" operator="equal">
      <formula>"TBD"</formula>
    </cfRule>
  </conditionalFormatting>
  <conditionalFormatting sqref="G110:H111">
    <cfRule type="containsText" dxfId="1583" priority="120" operator="containsText" text="DEAD">
      <formula>NOT(ISERROR(SEARCH("DEAD",G110)))</formula>
    </cfRule>
    <cfRule type="containsText" dxfId="1582" priority="121" operator="containsText" text="HOLD">
      <formula>NOT(ISERROR(SEARCH("HOLD",G110)))</formula>
    </cfRule>
  </conditionalFormatting>
  <conditionalFormatting sqref="Q113">
    <cfRule type="cellIs" dxfId="1581" priority="114" operator="equal">
      <formula>0</formula>
    </cfRule>
  </conditionalFormatting>
  <conditionalFormatting sqref="G113:H113">
    <cfRule type="cellIs" dxfId="1580" priority="113" operator="equal">
      <formula>"TBD"</formula>
    </cfRule>
  </conditionalFormatting>
  <conditionalFormatting sqref="G113:H113">
    <cfRule type="containsText" dxfId="1579" priority="111" operator="containsText" text="DEAD">
      <formula>NOT(ISERROR(SEARCH("DEAD",G113)))</formula>
    </cfRule>
    <cfRule type="containsText" dxfId="1578" priority="112" operator="containsText" text="HOLD">
      <formula>NOT(ISERROR(SEARCH("HOLD",G113)))</formula>
    </cfRule>
  </conditionalFormatting>
  <conditionalFormatting sqref="Q106">
    <cfRule type="cellIs" dxfId="1577" priority="105" operator="equal">
      <formula>0</formula>
    </cfRule>
  </conditionalFormatting>
  <conditionalFormatting sqref="G106:H106">
    <cfRule type="cellIs" dxfId="1576" priority="104" operator="equal">
      <formula>"TBD"</formula>
    </cfRule>
  </conditionalFormatting>
  <conditionalFormatting sqref="G106:H106">
    <cfRule type="containsText" dxfId="1575" priority="102" operator="containsText" text="DEAD">
      <formula>NOT(ISERROR(SEARCH("DEAD",G106)))</formula>
    </cfRule>
    <cfRule type="containsText" dxfId="1574" priority="103" operator="containsText" text="HOLD">
      <formula>NOT(ISERROR(SEARCH("HOLD",G106)))</formula>
    </cfRule>
  </conditionalFormatting>
  <conditionalFormatting sqref="Q112">
    <cfRule type="cellIs" dxfId="1573" priority="96" operator="equal">
      <formula>0</formula>
    </cfRule>
  </conditionalFormatting>
  <conditionalFormatting sqref="G112:H112">
    <cfRule type="cellIs" dxfId="1572" priority="95" operator="equal">
      <formula>"TBD"</formula>
    </cfRule>
  </conditionalFormatting>
  <conditionalFormatting sqref="G112:H112">
    <cfRule type="containsText" dxfId="1571" priority="93" operator="containsText" text="DEAD">
      <formula>NOT(ISERROR(SEARCH("DEAD",G112)))</formula>
    </cfRule>
    <cfRule type="containsText" dxfId="1570" priority="94" operator="containsText" text="HOLD">
      <formula>NOT(ISERROR(SEARCH("HOLD",G112)))</formula>
    </cfRule>
  </conditionalFormatting>
  <conditionalFormatting sqref="Q114">
    <cfRule type="cellIs" dxfId="1569" priority="87" operator="equal">
      <formula>0</formula>
    </cfRule>
  </conditionalFormatting>
  <conditionalFormatting sqref="G114:H114">
    <cfRule type="cellIs" dxfId="1568" priority="86" operator="equal">
      <formula>"TBD"</formula>
    </cfRule>
  </conditionalFormatting>
  <conditionalFormatting sqref="G114:H114">
    <cfRule type="containsText" dxfId="1567" priority="84" operator="containsText" text="DEAD">
      <formula>NOT(ISERROR(SEARCH("DEAD",G114)))</formula>
    </cfRule>
    <cfRule type="containsText" dxfId="1566" priority="85" operator="containsText" text="HOLD">
      <formula>NOT(ISERROR(SEARCH("HOLD",G114)))</formula>
    </cfRule>
  </conditionalFormatting>
  <conditionalFormatting sqref="Q115">
    <cfRule type="cellIs" dxfId="1565" priority="78" operator="equal">
      <formula>0</formula>
    </cfRule>
  </conditionalFormatting>
  <conditionalFormatting sqref="G115:H115">
    <cfRule type="cellIs" dxfId="1564" priority="77" operator="equal">
      <formula>"TBD"</formula>
    </cfRule>
  </conditionalFormatting>
  <conditionalFormatting sqref="G115:H115">
    <cfRule type="containsText" dxfId="1563" priority="75" operator="containsText" text="DEAD">
      <formula>NOT(ISERROR(SEARCH("DEAD",G115)))</formula>
    </cfRule>
    <cfRule type="containsText" dxfId="1562" priority="76" operator="containsText" text="HOLD">
      <formula>NOT(ISERROR(SEARCH("HOLD",G115)))</formula>
    </cfRule>
  </conditionalFormatting>
  <conditionalFormatting sqref="Q116:Q118">
    <cfRule type="cellIs" dxfId="1561" priority="69" operator="equal">
      <formula>0</formula>
    </cfRule>
  </conditionalFormatting>
  <conditionalFormatting sqref="G116:H118">
    <cfRule type="cellIs" dxfId="1560" priority="68" operator="equal">
      <formula>"TBD"</formula>
    </cfRule>
  </conditionalFormatting>
  <conditionalFormatting sqref="G116:H118">
    <cfRule type="containsText" dxfId="1559" priority="66" operator="containsText" text="DEAD">
      <formula>NOT(ISERROR(SEARCH("DEAD",G116)))</formula>
    </cfRule>
    <cfRule type="containsText" dxfId="1558" priority="67" operator="containsText" text="HOLD">
      <formula>NOT(ISERROR(SEARCH("HOLD",G116)))</formula>
    </cfRule>
  </conditionalFormatting>
  <conditionalFormatting sqref="Q119:Q121">
    <cfRule type="cellIs" dxfId="1557" priority="60" operator="equal">
      <formula>0</formula>
    </cfRule>
  </conditionalFormatting>
  <conditionalFormatting sqref="G119:H121">
    <cfRule type="cellIs" dxfId="1556" priority="59" operator="equal">
      <formula>"TBD"</formula>
    </cfRule>
  </conditionalFormatting>
  <conditionalFormatting sqref="G119:H121">
    <cfRule type="containsText" dxfId="1555" priority="57" operator="containsText" text="DEAD">
      <formula>NOT(ISERROR(SEARCH("DEAD",G119)))</formula>
    </cfRule>
    <cfRule type="containsText" dxfId="1554" priority="58" operator="containsText" text="HOLD">
      <formula>NOT(ISERROR(SEARCH("HOLD",G119)))</formula>
    </cfRule>
  </conditionalFormatting>
  <conditionalFormatting sqref="Q122">
    <cfRule type="cellIs" dxfId="1553" priority="51" operator="equal">
      <formula>0</formula>
    </cfRule>
  </conditionalFormatting>
  <conditionalFormatting sqref="G122:H122">
    <cfRule type="cellIs" dxfId="1552" priority="50" operator="equal">
      <formula>"TBD"</formula>
    </cfRule>
  </conditionalFormatting>
  <conditionalFormatting sqref="G122:H122">
    <cfRule type="containsText" dxfId="1551" priority="48" operator="containsText" text="DEAD">
      <formula>NOT(ISERROR(SEARCH("DEAD",G122)))</formula>
    </cfRule>
    <cfRule type="containsText" dxfId="1550" priority="49" operator="containsText" text="HOLD">
      <formula>NOT(ISERROR(SEARCH("HOLD",G122)))</formula>
    </cfRule>
  </conditionalFormatting>
  <conditionalFormatting sqref="AH81">
    <cfRule type="cellIs" dxfId="1549" priority="45" operator="lessThan">
      <formula>Q81</formula>
    </cfRule>
    <cfRule type="cellIs" dxfId="1548" priority="46" operator="greaterThan">
      <formula>Q81</formula>
    </cfRule>
    <cfRule type="cellIs" dxfId="1547" priority="47" operator="equal">
      <formula>Q81</formula>
    </cfRule>
  </conditionalFormatting>
  <conditionalFormatting sqref="Q81">
    <cfRule type="cellIs" dxfId="1546" priority="42" operator="equal">
      <formula>0</formula>
    </cfRule>
  </conditionalFormatting>
  <conditionalFormatting sqref="G81:H81">
    <cfRule type="cellIs" dxfId="1545" priority="41" operator="equal">
      <formula>"TBD"</formula>
    </cfRule>
  </conditionalFormatting>
  <conditionalFormatting sqref="G81:H81">
    <cfRule type="containsText" dxfId="1544" priority="39" operator="containsText" text="DEAD">
      <formula>NOT(ISERROR(SEARCH("DEAD",G81)))</formula>
    </cfRule>
    <cfRule type="containsText" dxfId="1543" priority="40" operator="containsText" text="HOLD">
      <formula>NOT(ISERROR(SEARCH("HOLD",G81)))</formula>
    </cfRule>
  </conditionalFormatting>
  <conditionalFormatting sqref="AH142:AH151 AH88 AH16">
    <cfRule type="cellIs" dxfId="1542" priority="360" operator="greaterThan">
      <formula>$Q$36</formula>
    </cfRule>
    <cfRule type="cellIs" dxfId="1541" priority="361" operator="lessThan">
      <formula>$Q$36</formula>
    </cfRule>
    <cfRule type="cellIs" dxfId="1540" priority="362" operator="equal">
      <formula>$Q$36</formula>
    </cfRule>
    <cfRule type="cellIs" dxfId="1539" priority="363" operator="equal">
      <formula>$R$36</formula>
    </cfRule>
  </conditionalFormatting>
  <conditionalFormatting sqref="J83:J84">
    <cfRule type="cellIs" dxfId="1538" priority="30" operator="equal">
      <formula>"no"</formula>
    </cfRule>
    <cfRule type="cellIs" dxfId="1537" priority="31" operator="equal">
      <formula>"yes"</formula>
    </cfRule>
  </conditionalFormatting>
  <conditionalFormatting sqref="D83:I84">
    <cfRule type="cellIs" dxfId="1536" priority="29" operator="equal">
      <formula>"TBD"</formula>
    </cfRule>
  </conditionalFormatting>
  <conditionalFormatting sqref="N148 N4:N20 N28:N35 N67:N81 N146 N37 N87:N131">
    <cfRule type="cellIs" dxfId="1535" priority="26" operator="equal">
      <formula>0</formula>
    </cfRule>
  </conditionalFormatting>
  <conditionalFormatting sqref="N23:N25">
    <cfRule type="cellIs" dxfId="1534" priority="25" operator="equal">
      <formula>0</formula>
    </cfRule>
  </conditionalFormatting>
  <conditionalFormatting sqref="N41">
    <cfRule type="cellIs" dxfId="1533" priority="23" operator="equal">
      <formula>0</formula>
    </cfRule>
  </conditionalFormatting>
  <conditionalFormatting sqref="N44:N46">
    <cfRule type="cellIs" dxfId="1532" priority="22" operator="equal">
      <formula>0</formula>
    </cfRule>
  </conditionalFormatting>
  <conditionalFormatting sqref="N49:N51">
    <cfRule type="cellIs" dxfId="1531" priority="21" operator="equal">
      <formula>0</formula>
    </cfRule>
  </conditionalFormatting>
  <conditionalFormatting sqref="N54:N55">
    <cfRule type="cellIs" dxfId="1530" priority="20" operator="equal">
      <formula>0</formula>
    </cfRule>
  </conditionalFormatting>
  <conditionalFormatting sqref="N58:N61">
    <cfRule type="cellIs" dxfId="1529" priority="19" operator="equal">
      <formula>0</formula>
    </cfRule>
  </conditionalFormatting>
  <conditionalFormatting sqref="N64">
    <cfRule type="cellIs" dxfId="1528" priority="18" operator="equal">
      <formula>0</formula>
    </cfRule>
  </conditionalFormatting>
  <conditionalFormatting sqref="N84">
    <cfRule type="cellIs" dxfId="1527" priority="16" operator="equal">
      <formula>0</formula>
    </cfRule>
  </conditionalFormatting>
  <conditionalFormatting sqref="AH138">
    <cfRule type="cellIs" dxfId="1526" priority="12" operator="lessThan">
      <formula>Q138</formula>
    </cfRule>
    <cfRule type="cellIs" dxfId="1525" priority="13" operator="greaterThan">
      <formula>Q138</formula>
    </cfRule>
    <cfRule type="cellIs" dxfId="1524" priority="14" operator="equal">
      <formula>Q138</formula>
    </cfRule>
  </conditionalFormatting>
  <conditionalFormatting sqref="J138">
    <cfRule type="cellIs" dxfId="1523" priority="10" operator="equal">
      <formula>"no"</formula>
    </cfRule>
    <cfRule type="cellIs" dxfId="1522" priority="11" operator="equal">
      <formula>"yes"</formula>
    </cfRule>
  </conditionalFormatting>
  <conditionalFormatting sqref="E138 G138:I138">
    <cfRule type="cellIs" dxfId="1521" priority="9" operator="equal">
      <formula>"TBD"</formula>
    </cfRule>
  </conditionalFormatting>
  <conditionalFormatting sqref="E138 G138:I138">
    <cfRule type="containsText" dxfId="1520" priority="7" operator="containsText" text="DEAD">
      <formula>NOT(ISERROR(SEARCH("DEAD",E138)))</formula>
    </cfRule>
    <cfRule type="containsText" dxfId="1519" priority="8" operator="containsText" text="HOLD">
      <formula>NOT(ISERROR(SEARCH("HOLD",E138)))</formula>
    </cfRule>
  </conditionalFormatting>
  <conditionalFormatting sqref="Q138">
    <cfRule type="cellIs" dxfId="1518" priority="5" operator="equal">
      <formula>0</formula>
    </cfRule>
  </conditionalFormatting>
  <conditionalFormatting sqref="D139">
    <cfRule type="cellIs" dxfId="1517" priority="3" operator="equal">
      <formula>"SOLD"</formula>
    </cfRule>
  </conditionalFormatting>
  <conditionalFormatting sqref="C139:D139">
    <cfRule type="cellIs" dxfId="1516" priority="4" operator="equal">
      <formula>"TBD"</formula>
    </cfRule>
  </conditionalFormatting>
  <conditionalFormatting sqref="AJ4:AJ154">
    <cfRule type="cellIs" dxfId="1515" priority="1" operator="lessThan">
      <formula>0</formula>
    </cfRule>
    <cfRule type="cellIs" dxfId="1514" priority="2" operator="greaterThan">
      <formula>0</formula>
    </cfRule>
  </conditionalFormatting>
  <pageMargins left="0.2" right="0.25" top="0.75" bottom="0.75" header="0.3" footer="0.3"/>
  <pageSetup paperSize="5" orientation="portrait" r:id="rId1"/>
  <ignoredErrors>
    <ignoredError sqref="AH34:AH35 AH46 AH58:AH59 AH64 AH68:AH70 AH76:AH78 AH79:AH80 AH5:AH9 AH17 AH23:AH25 AH134:AH135 AH140:AH142 AH144 AH150:AH151 AH28:AH30 AH49 AH51 AH67 AH71:AH72" formulaRange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9F0F-1F5C-44FD-B05E-EC8FFC3B522D}">
  <dimension ref="A1:AL185"/>
  <sheetViews>
    <sheetView zoomScale="85" zoomScaleNormal="85" zoomScaleSheetLayoutView="85" workbookViewId="0">
      <pane xSplit="2" ySplit="2" topLeftCell="C117" activePane="bottomRight" state="frozen"/>
      <selection pane="topRight" activeCell="B1" sqref="B1"/>
      <selection pane="bottomLeft" activeCell="A3" sqref="A3"/>
      <selection pane="bottomRight" activeCell="H124" sqref="H124"/>
    </sheetView>
  </sheetViews>
  <sheetFormatPr defaultRowHeight="15" x14ac:dyDescent="0.25"/>
  <cols>
    <col min="1" max="1" width="12.42578125" customWidth="1"/>
    <col min="2" max="2" width="47.5703125" bestFit="1" customWidth="1"/>
    <col min="3" max="3" width="11" style="74" customWidth="1"/>
    <col min="4" max="4" width="12.42578125" style="74" customWidth="1"/>
    <col min="5" max="5" width="46.5703125" hidden="1" customWidth="1"/>
    <col min="6" max="7" width="16.5703125" style="74" hidden="1" customWidth="1"/>
    <col min="8" max="9" width="13.5703125" style="295" customWidth="1"/>
    <col min="10" max="10" width="13.5703125" style="296" customWidth="1"/>
    <col min="11" max="11" width="11.5703125" style="74" customWidth="1"/>
    <col min="12" max="12" width="13.5703125" style="74" customWidth="1"/>
    <col min="13" max="13" width="12.5703125" style="74" customWidth="1"/>
    <col min="14" max="14" width="12.5703125" style="74" hidden="1" customWidth="1"/>
    <col min="15" max="17" width="16.5703125" style="38" hidden="1" customWidth="1"/>
    <col min="18" max="18" width="18.5703125" style="78" customWidth="1"/>
    <col min="19" max="19" width="17.42578125" style="278" customWidth="1"/>
    <col min="20" max="20" width="19.5703125" style="277" hidden="1" customWidth="1"/>
    <col min="21" max="22" width="19.5703125" style="78" hidden="1" customWidth="1"/>
    <col min="23" max="25" width="19.5703125" style="81" hidden="1" customWidth="1"/>
    <col min="26" max="26" width="19.5703125" style="78" hidden="1" customWidth="1"/>
    <col min="27" max="30" width="19.5703125" style="78" customWidth="1"/>
    <col min="31" max="31" width="19.5703125" style="277" customWidth="1"/>
    <col min="32" max="32" width="18.42578125" style="277" customWidth="1"/>
    <col min="33" max="33" width="16.5703125" style="78" customWidth="1"/>
    <col min="34" max="34" width="3.42578125" style="79" customWidth="1"/>
    <col min="35" max="35" width="17.42578125" style="78" customWidth="1"/>
    <col min="36" max="36" width="3.42578125" style="79" customWidth="1"/>
    <col min="37" max="37" width="17.5703125" customWidth="1"/>
    <col min="38" max="38" width="76.5703125" bestFit="1" customWidth="1"/>
  </cols>
  <sheetData>
    <row r="1" spans="1:38" s="36" customFormat="1" ht="29.1" customHeight="1" x14ac:dyDescent="0.25">
      <c r="C1" s="37"/>
      <c r="D1" s="37"/>
      <c r="F1" s="37"/>
      <c r="G1" s="37"/>
      <c r="H1" s="293"/>
      <c r="I1" s="293"/>
      <c r="J1" s="38"/>
      <c r="K1" s="37"/>
      <c r="L1" s="37"/>
      <c r="M1" s="37"/>
      <c r="N1" s="37"/>
      <c r="O1" s="38"/>
      <c r="P1" s="38"/>
      <c r="Q1" s="38"/>
      <c r="R1" s="279"/>
      <c r="S1" s="280">
        <v>2020</v>
      </c>
      <c r="T1" s="529">
        <v>2021</v>
      </c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281">
        <v>2022</v>
      </c>
      <c r="AG1" s="282">
        <v>2023</v>
      </c>
      <c r="AH1" s="42"/>
      <c r="AI1" s="41"/>
      <c r="AJ1" s="42"/>
    </row>
    <row r="2" spans="1:38" s="292" customFormat="1" ht="47.25" x14ac:dyDescent="0.25">
      <c r="A2" s="284" t="s">
        <v>614</v>
      </c>
      <c r="B2" s="285" t="s">
        <v>613</v>
      </c>
      <c r="C2" s="286" t="s">
        <v>342</v>
      </c>
      <c r="D2" s="286" t="s">
        <v>343</v>
      </c>
      <c r="E2" s="285" t="s">
        <v>612</v>
      </c>
      <c r="F2" s="286" t="s">
        <v>12</v>
      </c>
      <c r="G2" s="286" t="s">
        <v>743</v>
      </c>
      <c r="H2" s="294" t="s">
        <v>615</v>
      </c>
      <c r="I2" s="294" t="s">
        <v>620</v>
      </c>
      <c r="J2" s="287" t="s">
        <v>619</v>
      </c>
      <c r="K2" s="286" t="s">
        <v>620</v>
      </c>
      <c r="L2" s="286" t="s">
        <v>345</v>
      </c>
      <c r="M2" s="286" t="s">
        <v>346</v>
      </c>
      <c r="N2" s="286" t="s">
        <v>681</v>
      </c>
      <c r="O2" s="287" t="s">
        <v>347</v>
      </c>
      <c r="P2" s="287" t="s">
        <v>644</v>
      </c>
      <c r="Q2" s="287" t="s">
        <v>645</v>
      </c>
      <c r="R2" s="82" t="s">
        <v>348</v>
      </c>
      <c r="S2" s="288" t="s">
        <v>629</v>
      </c>
      <c r="T2" s="82" t="s">
        <v>353</v>
      </c>
      <c r="U2" s="82" t="s">
        <v>354</v>
      </c>
      <c r="V2" s="82" t="s">
        <v>355</v>
      </c>
      <c r="W2" s="289" t="s">
        <v>356</v>
      </c>
      <c r="X2" s="289" t="s">
        <v>357</v>
      </c>
      <c r="Y2" s="82" t="s">
        <v>358</v>
      </c>
      <c r="Z2" s="82" t="s">
        <v>359</v>
      </c>
      <c r="AA2" s="289" t="s">
        <v>360</v>
      </c>
      <c r="AB2" s="82" t="s">
        <v>361</v>
      </c>
      <c r="AC2" s="82" t="s">
        <v>362</v>
      </c>
      <c r="AD2" s="289" t="s">
        <v>363</v>
      </c>
      <c r="AE2" s="82" t="s">
        <v>364</v>
      </c>
      <c r="AF2" s="82" t="s">
        <v>627</v>
      </c>
      <c r="AG2" s="289" t="s">
        <v>628</v>
      </c>
      <c r="AH2" s="290"/>
      <c r="AI2" s="82" t="s">
        <v>365</v>
      </c>
      <c r="AJ2" s="290"/>
      <c r="AK2" s="291" t="s">
        <v>366</v>
      </c>
      <c r="AL2" s="291" t="s">
        <v>547</v>
      </c>
    </row>
    <row r="3" spans="1:38" s="36" customFormat="1" ht="15.75" x14ac:dyDescent="0.25">
      <c r="A3" s="106" t="s">
        <v>27</v>
      </c>
      <c r="B3" s="107"/>
      <c r="C3" s="101" t="s">
        <v>368</v>
      </c>
      <c r="D3" s="102"/>
      <c r="E3" s="107"/>
      <c r="F3" s="102"/>
      <c r="G3" s="102"/>
      <c r="H3" s="276"/>
      <c r="I3" s="276"/>
      <c r="J3" s="84"/>
      <c r="K3" s="102"/>
      <c r="L3" s="102"/>
      <c r="M3" s="102"/>
      <c r="N3" s="102"/>
      <c r="O3" s="84"/>
      <c r="P3" s="84"/>
      <c r="Q3" s="84"/>
      <c r="R3" s="103"/>
      <c r="S3" s="85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47"/>
      <c r="AI3" s="103"/>
      <c r="AJ3" s="51"/>
    </row>
    <row r="4" spans="1:38" s="36" customFormat="1" ht="15.75" x14ac:dyDescent="0.25">
      <c r="A4" s="303" t="s">
        <v>284</v>
      </c>
      <c r="B4" s="304" t="s">
        <v>421</v>
      </c>
      <c r="C4" s="302" t="s">
        <v>368</v>
      </c>
      <c r="D4" s="302" t="s">
        <v>402</v>
      </c>
      <c r="E4" s="297" t="s">
        <v>286</v>
      </c>
      <c r="F4" s="302" t="s">
        <v>237</v>
      </c>
      <c r="G4" s="302"/>
      <c r="H4" s="318">
        <v>43867</v>
      </c>
      <c r="I4" s="318">
        <v>43952</v>
      </c>
      <c r="J4" s="331">
        <f t="shared" ref="J4:J20" si="0">I4-H4</f>
        <v>85</v>
      </c>
      <c r="K4" s="302" t="s">
        <v>370</v>
      </c>
      <c r="L4" s="318">
        <v>43983</v>
      </c>
      <c r="M4" s="318">
        <v>44155</v>
      </c>
      <c r="N4" s="318"/>
      <c r="O4" s="305">
        <f t="shared" ref="O4:O20" si="1">((M4-L4)/7)/4.3</f>
        <v>5.7142857142857153</v>
      </c>
      <c r="P4" s="305" t="s">
        <v>237</v>
      </c>
      <c r="Q4" s="305"/>
      <c r="R4" s="306">
        <f>660134-54144</f>
        <v>605990</v>
      </c>
      <c r="S4" s="115">
        <v>568347</v>
      </c>
      <c r="T4" s="115">
        <v>879</v>
      </c>
      <c r="U4" s="115">
        <v>35573</v>
      </c>
      <c r="V4" s="115">
        <v>656</v>
      </c>
      <c r="W4" s="115">
        <v>0</v>
      </c>
      <c r="X4" s="115">
        <v>0</v>
      </c>
      <c r="Y4" s="115">
        <v>535</v>
      </c>
      <c r="Z4" s="115">
        <v>0</v>
      </c>
      <c r="AA4" s="115">
        <v>0</v>
      </c>
      <c r="AB4" s="115">
        <v>0</v>
      </c>
      <c r="AC4" s="58"/>
      <c r="AD4" s="58"/>
      <c r="AE4" s="58"/>
      <c r="AF4" s="58"/>
      <c r="AG4" s="58"/>
      <c r="AH4" s="47"/>
      <c r="AI4" s="53">
        <f t="shared" ref="AI4:AI21" si="2">SUM(S4:AH4)</f>
        <v>605990</v>
      </c>
      <c r="AJ4" s="51"/>
      <c r="AK4" s="218">
        <f t="shared" ref="AK4:AK67" si="3">AI4-R4</f>
        <v>0</v>
      </c>
    </row>
    <row r="5" spans="1:38" s="36" customFormat="1" ht="15.75" x14ac:dyDescent="0.25">
      <c r="A5" s="307" t="s">
        <v>288</v>
      </c>
      <c r="B5" s="308" t="s">
        <v>289</v>
      </c>
      <c r="C5" s="302" t="s">
        <v>368</v>
      </c>
      <c r="D5" s="302" t="s">
        <v>659</v>
      </c>
      <c r="E5" s="297" t="s">
        <v>290</v>
      </c>
      <c r="F5" s="302" t="s">
        <v>237</v>
      </c>
      <c r="G5" s="302"/>
      <c r="H5" s="318">
        <v>43973</v>
      </c>
      <c r="I5" s="318">
        <v>44006</v>
      </c>
      <c r="J5" s="331">
        <f t="shared" si="0"/>
        <v>33</v>
      </c>
      <c r="K5" s="302" t="s">
        <v>370</v>
      </c>
      <c r="L5" s="318">
        <v>44048</v>
      </c>
      <c r="M5" s="318">
        <v>44237</v>
      </c>
      <c r="N5" s="318"/>
      <c r="O5" s="305">
        <f t="shared" si="1"/>
        <v>6.279069767441861</v>
      </c>
      <c r="P5" s="305" t="s">
        <v>237</v>
      </c>
      <c r="Q5" s="305"/>
      <c r="R5" s="306">
        <v>845876</v>
      </c>
      <c r="S5" s="115">
        <v>628337</v>
      </c>
      <c r="T5" s="115">
        <v>137155</v>
      </c>
      <c r="U5" s="177">
        <v>19492</v>
      </c>
      <c r="V5" s="115">
        <v>60892</v>
      </c>
      <c r="W5" s="242">
        <v>0</v>
      </c>
      <c r="X5" s="115">
        <v>0</v>
      </c>
      <c r="Y5" s="115">
        <v>0</v>
      </c>
      <c r="Z5" s="115">
        <v>0</v>
      </c>
      <c r="AA5" s="115">
        <v>0</v>
      </c>
      <c r="AB5" s="115">
        <v>0</v>
      </c>
      <c r="AC5" s="58"/>
      <c r="AD5" s="58"/>
      <c r="AE5" s="58"/>
      <c r="AF5" s="58"/>
      <c r="AG5" s="58"/>
      <c r="AH5" s="47"/>
      <c r="AI5" s="53">
        <f t="shared" si="2"/>
        <v>845876</v>
      </c>
      <c r="AJ5" s="51"/>
      <c r="AK5" s="218">
        <f t="shared" si="3"/>
        <v>0</v>
      </c>
    </row>
    <row r="6" spans="1:38" s="36" customFormat="1" ht="15.75" x14ac:dyDescent="0.25">
      <c r="A6" s="303" t="s">
        <v>292</v>
      </c>
      <c r="B6" s="304" t="s">
        <v>293</v>
      </c>
      <c r="C6" s="302" t="s">
        <v>368</v>
      </c>
      <c r="D6" s="302" t="s">
        <v>659</v>
      </c>
      <c r="E6" s="297" t="s">
        <v>294</v>
      </c>
      <c r="F6" s="302" t="s">
        <v>237</v>
      </c>
      <c r="G6" s="302"/>
      <c r="H6" s="318">
        <v>44041</v>
      </c>
      <c r="I6" s="318">
        <v>44106</v>
      </c>
      <c r="J6" s="331">
        <f t="shared" si="0"/>
        <v>65</v>
      </c>
      <c r="K6" s="302" t="s">
        <v>370</v>
      </c>
      <c r="L6" s="318">
        <v>44102</v>
      </c>
      <c r="M6" s="318">
        <v>44241</v>
      </c>
      <c r="N6" s="318"/>
      <c r="O6" s="305">
        <f t="shared" si="1"/>
        <v>4.6179401993355489</v>
      </c>
      <c r="P6" s="305" t="s">
        <v>237</v>
      </c>
      <c r="Q6" s="305"/>
      <c r="R6" s="306">
        <v>303150</v>
      </c>
      <c r="S6" s="115">
        <v>162612</v>
      </c>
      <c r="T6" s="115">
        <v>95646</v>
      </c>
      <c r="U6" s="177">
        <v>33342</v>
      </c>
      <c r="V6" s="115">
        <v>5713</v>
      </c>
      <c r="W6" s="242">
        <v>5837</v>
      </c>
      <c r="X6" s="115">
        <v>0</v>
      </c>
      <c r="Y6" s="115">
        <v>0</v>
      </c>
      <c r="Z6" s="115">
        <v>0</v>
      </c>
      <c r="AA6" s="115">
        <v>0</v>
      </c>
      <c r="AB6" s="115">
        <v>0</v>
      </c>
      <c r="AC6" s="58"/>
      <c r="AD6" s="58"/>
      <c r="AE6" s="58"/>
      <c r="AF6" s="58"/>
      <c r="AG6" s="58"/>
      <c r="AH6" s="47"/>
      <c r="AI6" s="53">
        <f t="shared" si="2"/>
        <v>303150</v>
      </c>
      <c r="AJ6" s="51"/>
      <c r="AK6" s="218">
        <f t="shared" si="3"/>
        <v>0</v>
      </c>
    </row>
    <row r="7" spans="1:38" s="36" customFormat="1" ht="15.75" x14ac:dyDescent="0.25">
      <c r="A7" s="303" t="s">
        <v>295</v>
      </c>
      <c r="B7" s="304" t="s">
        <v>296</v>
      </c>
      <c r="C7" s="302" t="s">
        <v>368</v>
      </c>
      <c r="D7" s="302" t="s">
        <v>659</v>
      </c>
      <c r="E7" s="297" t="s">
        <v>616</v>
      </c>
      <c r="F7" s="302" t="s">
        <v>237</v>
      </c>
      <c r="G7" s="302"/>
      <c r="H7" s="318">
        <v>44007</v>
      </c>
      <c r="I7" s="318">
        <v>44029</v>
      </c>
      <c r="J7" s="331">
        <f t="shared" si="0"/>
        <v>22</v>
      </c>
      <c r="K7" s="302" t="s">
        <v>370</v>
      </c>
      <c r="L7" s="318">
        <v>44102</v>
      </c>
      <c r="M7" s="318">
        <v>44237</v>
      </c>
      <c r="N7" s="318"/>
      <c r="O7" s="305">
        <f t="shared" si="1"/>
        <v>4.485049833887043</v>
      </c>
      <c r="P7" s="305" t="s">
        <v>237</v>
      </c>
      <c r="Q7" s="305"/>
      <c r="R7" s="306">
        <v>222517</v>
      </c>
      <c r="S7" s="115">
        <v>131745</v>
      </c>
      <c r="T7" s="115">
        <v>62828</v>
      </c>
      <c r="U7" s="177">
        <v>27944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  <c r="AC7" s="58"/>
      <c r="AD7" s="58"/>
      <c r="AE7" s="58"/>
      <c r="AF7" s="58"/>
      <c r="AG7" s="58"/>
      <c r="AH7" s="47"/>
      <c r="AI7" s="53">
        <f t="shared" si="2"/>
        <v>222517</v>
      </c>
      <c r="AJ7" s="51"/>
      <c r="AK7" s="218">
        <f t="shared" si="3"/>
        <v>0</v>
      </c>
    </row>
    <row r="8" spans="1:38" s="36" customFormat="1" ht="15.75" x14ac:dyDescent="0.25">
      <c r="A8" s="34" t="s">
        <v>166</v>
      </c>
      <c r="B8" s="35" t="s">
        <v>168</v>
      </c>
      <c r="C8" s="298" t="s">
        <v>368</v>
      </c>
      <c r="D8" s="298" t="s">
        <v>402</v>
      </c>
      <c r="E8" s="300" t="s">
        <v>169</v>
      </c>
      <c r="F8" s="298" t="s">
        <v>46</v>
      </c>
      <c r="G8" s="298"/>
      <c r="H8" s="329">
        <v>44243</v>
      </c>
      <c r="I8" s="329">
        <v>44302</v>
      </c>
      <c r="J8" s="346">
        <f t="shared" si="0"/>
        <v>59</v>
      </c>
      <c r="K8" s="52" t="s">
        <v>370</v>
      </c>
      <c r="L8" s="329">
        <v>44319</v>
      </c>
      <c r="M8" s="298">
        <v>44505</v>
      </c>
      <c r="N8" s="298"/>
      <c r="O8" s="301">
        <f t="shared" si="1"/>
        <v>6.1794019933554827</v>
      </c>
      <c r="P8" s="301"/>
      <c r="Q8" s="301"/>
      <c r="R8" s="181">
        <v>1181870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154842</v>
      </c>
      <c r="Y8" s="115">
        <v>139424</v>
      </c>
      <c r="Z8" s="115">
        <v>0</v>
      </c>
      <c r="AA8" s="115">
        <v>383465</v>
      </c>
      <c r="AB8" s="115">
        <v>27725.91</v>
      </c>
      <c r="AC8" s="275">
        <v>150000</v>
      </c>
      <c r="AD8" s="275">
        <v>150000</v>
      </c>
      <c r="AE8" s="275">
        <v>54139</v>
      </c>
      <c r="AF8" s="275"/>
      <c r="AG8" s="53"/>
      <c r="AH8" s="47"/>
      <c r="AI8" s="53">
        <f t="shared" si="2"/>
        <v>1059595.9100000001</v>
      </c>
      <c r="AJ8" s="51"/>
      <c r="AK8" s="218">
        <f t="shared" si="3"/>
        <v>-122274.08999999985</v>
      </c>
    </row>
    <row r="9" spans="1:38" s="36" customFormat="1" ht="15.75" x14ac:dyDescent="0.25">
      <c r="A9" s="221" t="s">
        <v>23</v>
      </c>
      <c r="B9" s="309" t="s">
        <v>25</v>
      </c>
      <c r="C9" s="302" t="s">
        <v>368</v>
      </c>
      <c r="D9" s="302" t="s">
        <v>659</v>
      </c>
      <c r="E9" s="297" t="s">
        <v>26</v>
      </c>
      <c r="F9" s="302" t="s">
        <v>237</v>
      </c>
      <c r="G9" s="302"/>
      <c r="H9" s="328">
        <v>44046</v>
      </c>
      <c r="I9" s="328">
        <v>44162</v>
      </c>
      <c r="J9" s="331">
        <f t="shared" si="0"/>
        <v>116</v>
      </c>
      <c r="K9" s="310" t="s">
        <v>370</v>
      </c>
      <c r="L9" s="318">
        <v>44144</v>
      </c>
      <c r="M9" s="318">
        <v>44407</v>
      </c>
      <c r="N9" s="318"/>
      <c r="O9" s="311">
        <f t="shared" si="1"/>
        <v>8.7375415282392019</v>
      </c>
      <c r="P9" s="311" t="s">
        <v>237</v>
      </c>
      <c r="Q9" s="311"/>
      <c r="R9" s="306">
        <v>1307434</v>
      </c>
      <c r="S9" s="115">
        <v>244435</v>
      </c>
      <c r="T9" s="115">
        <v>181308</v>
      </c>
      <c r="U9" s="115">
        <v>16313</v>
      </c>
      <c r="V9" s="115">
        <v>286477</v>
      </c>
      <c r="W9" s="242">
        <v>175065</v>
      </c>
      <c r="X9" s="115">
        <v>254689</v>
      </c>
      <c r="Y9" s="115">
        <v>149147</v>
      </c>
      <c r="Z9" s="115">
        <v>0</v>
      </c>
      <c r="AA9" s="115">
        <v>0</v>
      </c>
      <c r="AB9" s="115">
        <v>0</v>
      </c>
      <c r="AC9" s="58"/>
      <c r="AD9" s="58"/>
      <c r="AE9" s="58"/>
      <c r="AF9" s="58"/>
      <c r="AG9" s="58"/>
      <c r="AH9" s="47"/>
      <c r="AI9" s="53">
        <f t="shared" si="2"/>
        <v>1307434</v>
      </c>
      <c r="AJ9" s="51"/>
      <c r="AK9" s="218">
        <f t="shared" si="3"/>
        <v>0</v>
      </c>
    </row>
    <row r="10" spans="1:38" s="36" customFormat="1" ht="15.75" x14ac:dyDescent="0.25">
      <c r="A10" s="221" t="s">
        <v>31</v>
      </c>
      <c r="B10" s="309" t="s">
        <v>745</v>
      </c>
      <c r="C10" s="302" t="s">
        <v>368</v>
      </c>
      <c r="D10" s="302" t="s">
        <v>659</v>
      </c>
      <c r="E10" s="297" t="s">
        <v>617</v>
      </c>
      <c r="F10" s="302" t="s">
        <v>237</v>
      </c>
      <c r="G10" s="302"/>
      <c r="H10" s="328">
        <v>44049</v>
      </c>
      <c r="I10" s="328">
        <v>44163</v>
      </c>
      <c r="J10" s="331">
        <f t="shared" si="0"/>
        <v>114</v>
      </c>
      <c r="K10" s="310" t="s">
        <v>370</v>
      </c>
      <c r="L10" s="318">
        <v>44144</v>
      </c>
      <c r="M10" s="318">
        <v>44418</v>
      </c>
      <c r="N10" s="318"/>
      <c r="O10" s="311">
        <f t="shared" si="1"/>
        <v>9.1029900332225928</v>
      </c>
      <c r="P10" s="311" t="s">
        <v>237</v>
      </c>
      <c r="Q10" s="311"/>
      <c r="R10" s="306">
        <f>267573-1</f>
        <v>267572</v>
      </c>
      <c r="S10" s="115">
        <v>46929</v>
      </c>
      <c r="T10" s="115">
        <v>38525</v>
      </c>
      <c r="U10" s="115">
        <v>0</v>
      </c>
      <c r="V10" s="115">
        <v>45735</v>
      </c>
      <c r="W10" s="242">
        <v>40858</v>
      </c>
      <c r="X10" s="115">
        <f>6750+26297</f>
        <v>33047</v>
      </c>
      <c r="Y10" s="115">
        <v>43566</v>
      </c>
      <c r="Z10" s="115">
        <v>18912</v>
      </c>
      <c r="AA10" s="115">
        <v>0</v>
      </c>
      <c r="AB10" s="115">
        <v>0</v>
      </c>
      <c r="AC10" s="58"/>
      <c r="AD10" s="58"/>
      <c r="AE10" s="58"/>
      <c r="AF10" s="58"/>
      <c r="AG10" s="58"/>
      <c r="AH10" s="47"/>
      <c r="AI10" s="53">
        <f t="shared" si="2"/>
        <v>267572</v>
      </c>
      <c r="AJ10" s="51"/>
      <c r="AK10" s="218">
        <f t="shared" si="3"/>
        <v>0</v>
      </c>
    </row>
    <row r="11" spans="1:38" s="36" customFormat="1" ht="15.75" x14ac:dyDescent="0.25">
      <c r="A11" s="221" t="s">
        <v>33</v>
      </c>
      <c r="B11" s="309" t="s">
        <v>746</v>
      </c>
      <c r="C11" s="302" t="s">
        <v>368</v>
      </c>
      <c r="D11" s="302" t="s">
        <v>659</v>
      </c>
      <c r="E11" s="297" t="s">
        <v>618</v>
      </c>
      <c r="F11" s="302" t="s">
        <v>237</v>
      </c>
      <c r="G11" s="302"/>
      <c r="H11" s="328">
        <v>44054</v>
      </c>
      <c r="I11" s="328">
        <v>44163</v>
      </c>
      <c r="J11" s="331">
        <f t="shared" si="0"/>
        <v>109</v>
      </c>
      <c r="K11" s="302" t="s">
        <v>370</v>
      </c>
      <c r="L11" s="318">
        <v>44144</v>
      </c>
      <c r="M11" s="318">
        <v>44410</v>
      </c>
      <c r="N11" s="318"/>
      <c r="O11" s="311">
        <f t="shared" si="1"/>
        <v>8.8372093023255811</v>
      </c>
      <c r="P11" s="311" t="s">
        <v>237</v>
      </c>
      <c r="Q11" s="311"/>
      <c r="R11" s="306">
        <v>231276</v>
      </c>
      <c r="S11" s="115">
        <v>34010</v>
      </c>
      <c r="T11" s="115">
        <v>31345</v>
      </c>
      <c r="U11" s="115">
        <v>0</v>
      </c>
      <c r="V11" s="115">
        <v>42608</v>
      </c>
      <c r="W11" s="242">
        <v>27037</v>
      </c>
      <c r="X11" s="115">
        <f>9333+19266</f>
        <v>28599</v>
      </c>
      <c r="Y11" s="115">
        <v>46383</v>
      </c>
      <c r="Z11" s="115">
        <f>6580+13609</f>
        <v>20189</v>
      </c>
      <c r="AA11" s="115">
        <v>1105</v>
      </c>
      <c r="AB11" s="115">
        <v>0</v>
      </c>
      <c r="AC11" s="58"/>
      <c r="AD11" s="58"/>
      <c r="AE11" s="58"/>
      <c r="AF11" s="58"/>
      <c r="AG11" s="58"/>
      <c r="AH11" s="47"/>
      <c r="AI11" s="53">
        <f t="shared" si="2"/>
        <v>231276</v>
      </c>
      <c r="AJ11" s="51"/>
      <c r="AK11" s="218">
        <f t="shared" si="3"/>
        <v>0</v>
      </c>
      <c r="AL11" s="36" t="s">
        <v>550</v>
      </c>
    </row>
    <row r="12" spans="1:38" s="36" customFormat="1" ht="15.75" x14ac:dyDescent="0.25">
      <c r="A12" s="221" t="s">
        <v>35</v>
      </c>
      <c r="B12" s="309" t="s">
        <v>36</v>
      </c>
      <c r="C12" s="310" t="s">
        <v>368</v>
      </c>
      <c r="D12" s="310" t="s">
        <v>401</v>
      </c>
      <c r="E12" s="297" t="s">
        <v>37</v>
      </c>
      <c r="F12" s="302" t="s">
        <v>237</v>
      </c>
      <c r="G12" s="302"/>
      <c r="H12" s="318">
        <v>44098</v>
      </c>
      <c r="I12" s="318">
        <v>44166</v>
      </c>
      <c r="J12" s="331">
        <f t="shared" si="0"/>
        <v>68</v>
      </c>
      <c r="K12" s="302" t="s">
        <v>370</v>
      </c>
      <c r="L12" s="318">
        <v>44241</v>
      </c>
      <c r="M12" s="318">
        <v>44412</v>
      </c>
      <c r="N12" s="318"/>
      <c r="O12" s="311">
        <f t="shared" si="1"/>
        <v>5.6810631229235877</v>
      </c>
      <c r="P12" s="311" t="s">
        <v>237</v>
      </c>
      <c r="Q12" s="311"/>
      <c r="R12" s="306">
        <v>984546</v>
      </c>
      <c r="S12" s="115">
        <v>230830</v>
      </c>
      <c r="T12" s="115">
        <v>155142</v>
      </c>
      <c r="U12" s="115">
        <v>20934</v>
      </c>
      <c r="V12" s="115">
        <v>247073</v>
      </c>
      <c r="W12" s="242">
        <v>88548</v>
      </c>
      <c r="X12" s="115">
        <f>14953+98288</f>
        <v>113241</v>
      </c>
      <c r="Y12" s="115">
        <v>61708</v>
      </c>
      <c r="Z12" s="115">
        <v>67070</v>
      </c>
      <c r="AA12" s="115">
        <v>0</v>
      </c>
      <c r="AB12" s="115">
        <v>0</v>
      </c>
      <c r="AC12" s="58"/>
      <c r="AD12" s="58"/>
      <c r="AE12" s="58"/>
      <c r="AF12" s="58"/>
      <c r="AG12" s="58"/>
      <c r="AH12" s="47"/>
      <c r="AI12" s="53">
        <f t="shared" si="2"/>
        <v>984546</v>
      </c>
      <c r="AJ12" s="51"/>
      <c r="AK12" s="218">
        <f t="shared" si="3"/>
        <v>0</v>
      </c>
    </row>
    <row r="13" spans="1:38" s="36" customFormat="1" ht="15.75" x14ac:dyDescent="0.25">
      <c r="A13" s="34" t="s">
        <v>170</v>
      </c>
      <c r="B13" s="35" t="s">
        <v>621</v>
      </c>
      <c r="C13" s="52" t="s">
        <v>368</v>
      </c>
      <c r="D13" s="52" t="s">
        <v>402</v>
      </c>
      <c r="E13" s="300" t="s">
        <v>172</v>
      </c>
      <c r="F13" s="52" t="s">
        <v>46</v>
      </c>
      <c r="G13" s="52"/>
      <c r="H13" s="329">
        <v>44201</v>
      </c>
      <c r="I13" s="329">
        <v>44302</v>
      </c>
      <c r="J13" s="346">
        <f t="shared" si="0"/>
        <v>101</v>
      </c>
      <c r="K13" s="299" t="s">
        <v>370</v>
      </c>
      <c r="L13" s="329">
        <v>44415</v>
      </c>
      <c r="M13" s="298">
        <v>44558</v>
      </c>
      <c r="N13" s="298"/>
      <c r="O13" s="50">
        <f t="shared" si="1"/>
        <v>4.750830564784053</v>
      </c>
      <c r="P13" s="50"/>
      <c r="Q13" s="50"/>
      <c r="R13" s="182">
        <v>1051400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f>111250</f>
        <v>111250</v>
      </c>
      <c r="Z13" s="115">
        <v>14446</v>
      </c>
      <c r="AA13" s="115">
        <v>326666</v>
      </c>
      <c r="AB13" s="115">
        <v>140279.28999999998</v>
      </c>
      <c r="AC13" s="275">
        <v>150000</v>
      </c>
      <c r="AD13" s="275">
        <v>150000</v>
      </c>
      <c r="AE13" s="275">
        <v>90000</v>
      </c>
      <c r="AF13" s="275">
        <v>59038</v>
      </c>
      <c r="AG13" s="53"/>
      <c r="AH13" s="47"/>
      <c r="AI13" s="53">
        <f t="shared" si="2"/>
        <v>1041679.29</v>
      </c>
      <c r="AJ13" s="51"/>
      <c r="AK13" s="218">
        <f t="shared" si="3"/>
        <v>-9720.7099999999627</v>
      </c>
    </row>
    <row r="14" spans="1:38" s="36" customFormat="1" ht="15.75" x14ac:dyDescent="0.25">
      <c r="A14" s="297" t="s">
        <v>41</v>
      </c>
      <c r="B14" s="314" t="s">
        <v>42</v>
      </c>
      <c r="C14" s="302" t="s">
        <v>368</v>
      </c>
      <c r="D14" s="302" t="s">
        <v>402</v>
      </c>
      <c r="E14" s="297" t="s">
        <v>43</v>
      </c>
      <c r="F14" s="302" t="s">
        <v>237</v>
      </c>
      <c r="G14" s="302"/>
      <c r="H14" s="318">
        <v>44225</v>
      </c>
      <c r="I14" s="318">
        <f>H14+35</f>
        <v>44260</v>
      </c>
      <c r="J14" s="331">
        <f t="shared" si="0"/>
        <v>35</v>
      </c>
      <c r="K14" s="302" t="s">
        <v>370</v>
      </c>
      <c r="L14" s="318">
        <v>44256</v>
      </c>
      <c r="M14" s="318">
        <v>44393</v>
      </c>
      <c r="N14" s="318"/>
      <c r="O14" s="305">
        <f t="shared" si="1"/>
        <v>4.5514950166112964</v>
      </c>
      <c r="P14" s="305" t="s">
        <v>237</v>
      </c>
      <c r="Q14" s="305"/>
      <c r="R14" s="306">
        <f>723063-1</f>
        <v>723062</v>
      </c>
      <c r="S14" s="115">
        <v>0</v>
      </c>
      <c r="T14" s="115">
        <v>0</v>
      </c>
      <c r="U14" s="115">
        <v>0</v>
      </c>
      <c r="V14" s="115">
        <v>79004</v>
      </c>
      <c r="W14" s="242">
        <v>201430</v>
      </c>
      <c r="X14" s="115">
        <f>30182+141103</f>
        <v>171285</v>
      </c>
      <c r="Y14" s="115">
        <v>187324</v>
      </c>
      <c r="Z14" s="115">
        <v>84019</v>
      </c>
      <c r="AA14" s="115">
        <v>0</v>
      </c>
      <c r="AB14" s="115">
        <v>0</v>
      </c>
      <c r="AC14" s="58"/>
      <c r="AD14" s="58"/>
      <c r="AE14" s="58"/>
      <c r="AF14" s="58"/>
      <c r="AG14" s="58"/>
      <c r="AH14" s="47"/>
      <c r="AI14" s="53">
        <f t="shared" si="2"/>
        <v>723062</v>
      </c>
      <c r="AJ14" s="51"/>
      <c r="AK14" s="218">
        <f t="shared" si="3"/>
        <v>0</v>
      </c>
    </row>
    <row r="15" spans="1:38" s="36" customFormat="1" ht="15.75" x14ac:dyDescent="0.25">
      <c r="A15" s="111" t="s">
        <v>174</v>
      </c>
      <c r="B15" s="112" t="s">
        <v>175</v>
      </c>
      <c r="C15" s="299" t="s">
        <v>368</v>
      </c>
      <c r="D15" s="299" t="s">
        <v>402</v>
      </c>
      <c r="E15" s="300" t="s">
        <v>172</v>
      </c>
      <c r="F15" s="299" t="s">
        <v>46</v>
      </c>
      <c r="G15" s="299"/>
      <c r="H15" s="329">
        <v>44362</v>
      </c>
      <c r="I15" s="329">
        <v>44418</v>
      </c>
      <c r="J15" s="346">
        <f t="shared" si="0"/>
        <v>56</v>
      </c>
      <c r="K15" s="52" t="s">
        <v>370</v>
      </c>
      <c r="L15" s="329">
        <v>44382</v>
      </c>
      <c r="M15" s="298">
        <v>44558</v>
      </c>
      <c r="N15" s="298"/>
      <c r="O15" s="50">
        <f t="shared" si="1"/>
        <v>5.8471760797342194</v>
      </c>
      <c r="P15" s="50"/>
      <c r="Q15" s="50"/>
      <c r="R15" s="182">
        <v>1367414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99756</v>
      </c>
      <c r="AB15" s="115">
        <v>330951.22000000003</v>
      </c>
      <c r="AC15" s="275">
        <v>250000</v>
      </c>
      <c r="AD15" s="275">
        <v>250000</v>
      </c>
      <c r="AE15" s="275">
        <v>250000</v>
      </c>
      <c r="AF15" s="275">
        <v>267658</v>
      </c>
      <c r="AG15" s="53"/>
      <c r="AH15" s="47"/>
      <c r="AI15" s="53">
        <f t="shared" si="2"/>
        <v>1448365.22</v>
      </c>
      <c r="AJ15" s="51"/>
      <c r="AK15" s="218">
        <f t="shared" si="3"/>
        <v>80951.219999999972</v>
      </c>
    </row>
    <row r="16" spans="1:38" s="36" customFormat="1" ht="15.75" x14ac:dyDescent="0.25">
      <c r="A16" s="113" t="s">
        <v>176</v>
      </c>
      <c r="B16" s="186" t="s">
        <v>177</v>
      </c>
      <c r="C16" s="52" t="s">
        <v>368</v>
      </c>
      <c r="D16" s="299" t="s">
        <v>402</v>
      </c>
      <c r="E16" s="114" t="s">
        <v>642</v>
      </c>
      <c r="F16" s="299" t="s">
        <v>46</v>
      </c>
      <c r="G16" s="299"/>
      <c r="H16" s="330">
        <v>44367</v>
      </c>
      <c r="I16" s="298">
        <v>44479</v>
      </c>
      <c r="J16" s="333">
        <f t="shared" si="0"/>
        <v>112</v>
      </c>
      <c r="K16" s="52" t="s">
        <v>370</v>
      </c>
      <c r="L16" s="347">
        <v>44445</v>
      </c>
      <c r="M16" s="347">
        <v>44589</v>
      </c>
      <c r="N16" s="52"/>
      <c r="O16" s="50">
        <f t="shared" si="1"/>
        <v>4.7840531561461797</v>
      </c>
      <c r="P16" s="50"/>
      <c r="Q16" s="50"/>
      <c r="R16" s="53">
        <v>280000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275">
        <v>50000</v>
      </c>
      <c r="AD16" s="275">
        <v>50000</v>
      </c>
      <c r="AE16" s="275">
        <v>50000</v>
      </c>
      <c r="AF16" s="275">
        <v>80000</v>
      </c>
      <c r="AG16" s="53"/>
      <c r="AH16" s="47"/>
      <c r="AI16" s="53">
        <f t="shared" si="2"/>
        <v>230000</v>
      </c>
      <c r="AJ16" s="51"/>
      <c r="AK16" s="218">
        <f t="shared" si="3"/>
        <v>-50000</v>
      </c>
    </row>
    <row r="17" spans="1:37" s="36" customFormat="1" ht="15.75" x14ac:dyDescent="0.25">
      <c r="A17" s="312" t="s">
        <v>47</v>
      </c>
      <c r="B17" s="313" t="s">
        <v>48</v>
      </c>
      <c r="C17" s="310" t="s">
        <v>368</v>
      </c>
      <c r="D17" s="310" t="s">
        <v>401</v>
      </c>
      <c r="E17" s="313" t="s">
        <v>646</v>
      </c>
      <c r="F17" s="310" t="s">
        <v>237</v>
      </c>
      <c r="G17" s="310"/>
      <c r="H17" s="328">
        <v>44166</v>
      </c>
      <c r="I17" s="328">
        <v>44186</v>
      </c>
      <c r="J17" s="331">
        <f t="shared" si="0"/>
        <v>20</v>
      </c>
      <c r="K17" s="302" t="s">
        <v>370</v>
      </c>
      <c r="L17" s="328">
        <v>44228</v>
      </c>
      <c r="M17" s="318">
        <v>44286</v>
      </c>
      <c r="N17" s="318"/>
      <c r="O17" s="311">
        <f t="shared" si="1"/>
        <v>1.9269102990033224</v>
      </c>
      <c r="P17" s="311" t="s">
        <v>237</v>
      </c>
      <c r="Q17" s="311"/>
      <c r="R17" s="306">
        <v>81500</v>
      </c>
      <c r="S17" s="115">
        <v>0</v>
      </c>
      <c r="T17" s="115">
        <v>0</v>
      </c>
      <c r="U17" s="115">
        <v>0</v>
      </c>
      <c r="V17" s="115">
        <v>81500</v>
      </c>
      <c r="W17" s="242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58"/>
      <c r="AD17" s="58"/>
      <c r="AE17" s="58"/>
      <c r="AF17" s="58"/>
      <c r="AG17" s="58"/>
      <c r="AH17" s="47"/>
      <c r="AI17" s="53">
        <f t="shared" si="2"/>
        <v>81500</v>
      </c>
      <c r="AJ17" s="51"/>
      <c r="AK17" s="218">
        <f t="shared" si="3"/>
        <v>0</v>
      </c>
    </row>
    <row r="18" spans="1:37" s="36" customFormat="1" ht="15.75" x14ac:dyDescent="0.25">
      <c r="A18" s="113" t="s">
        <v>485</v>
      </c>
      <c r="B18" s="186" t="s">
        <v>599</v>
      </c>
      <c r="C18" s="87" t="s">
        <v>368</v>
      </c>
      <c r="D18" s="52" t="s">
        <v>401</v>
      </c>
      <c r="E18" s="35" t="s">
        <v>707</v>
      </c>
      <c r="F18" s="52" t="s">
        <v>46</v>
      </c>
      <c r="G18" s="52"/>
      <c r="H18" s="330">
        <v>44391</v>
      </c>
      <c r="I18" s="329">
        <v>44456</v>
      </c>
      <c r="J18" s="333">
        <f t="shared" si="0"/>
        <v>65</v>
      </c>
      <c r="K18" s="52" t="s">
        <v>370</v>
      </c>
      <c r="L18" s="347">
        <f>I18+30</f>
        <v>44486</v>
      </c>
      <c r="M18" s="52">
        <f>L18+(8*4.3*7)</f>
        <v>44726.8</v>
      </c>
      <c r="N18" s="52"/>
      <c r="O18" s="50">
        <f t="shared" si="1"/>
        <v>8.0000000000000977</v>
      </c>
      <c r="P18" s="50"/>
      <c r="Q18" s="50"/>
      <c r="R18" s="53">
        <v>1225500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275">
        <v>150000</v>
      </c>
      <c r="AD18" s="275">
        <v>250000</v>
      </c>
      <c r="AE18" s="275">
        <v>250000</v>
      </c>
      <c r="AF18" s="275">
        <v>475500</v>
      </c>
      <c r="AG18" s="53"/>
      <c r="AH18" s="47"/>
      <c r="AI18" s="53">
        <f t="shared" si="2"/>
        <v>1125500</v>
      </c>
      <c r="AJ18" s="51"/>
      <c r="AK18" s="218">
        <f t="shared" si="3"/>
        <v>-100000</v>
      </c>
    </row>
    <row r="19" spans="1:37" s="36" customFormat="1" ht="15.75" x14ac:dyDescent="0.25">
      <c r="A19" s="113" t="s">
        <v>486</v>
      </c>
      <c r="B19" s="114" t="s">
        <v>601</v>
      </c>
      <c r="C19" s="87" t="s">
        <v>368</v>
      </c>
      <c r="D19" s="52" t="s">
        <v>401</v>
      </c>
      <c r="E19" s="35" t="s">
        <v>705</v>
      </c>
      <c r="F19" s="52" t="s">
        <v>46</v>
      </c>
      <c r="G19" s="52"/>
      <c r="H19" s="299">
        <v>44477</v>
      </c>
      <c r="I19" s="87">
        <f>H19+45</f>
        <v>44522</v>
      </c>
      <c r="J19" s="50">
        <f t="shared" si="0"/>
        <v>45</v>
      </c>
      <c r="K19" s="52" t="s">
        <v>320</v>
      </c>
      <c r="L19" s="87">
        <f>I19+30</f>
        <v>44552</v>
      </c>
      <c r="M19" s="52">
        <f>L19+(6*4.3*7)</f>
        <v>44732.6</v>
      </c>
      <c r="N19" s="52"/>
      <c r="O19" s="50">
        <f t="shared" si="1"/>
        <v>5.999999999999952</v>
      </c>
      <c r="P19" s="50"/>
      <c r="Q19" s="50"/>
      <c r="R19" s="53">
        <v>242554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275">
        <v>25000</v>
      </c>
      <c r="AD19" s="275">
        <v>50000</v>
      </c>
      <c r="AE19" s="275">
        <v>50000</v>
      </c>
      <c r="AF19" s="275">
        <v>117554</v>
      </c>
      <c r="AG19" s="53"/>
      <c r="AH19" s="47"/>
      <c r="AI19" s="53">
        <f t="shared" si="2"/>
        <v>242554</v>
      </c>
      <c r="AJ19" s="51"/>
      <c r="AK19" s="218">
        <f t="shared" si="3"/>
        <v>0</v>
      </c>
    </row>
    <row r="20" spans="1:37" s="36" customFormat="1" ht="15.75" x14ac:dyDescent="0.25">
      <c r="A20" s="113" t="s">
        <v>679</v>
      </c>
      <c r="B20" s="114" t="s">
        <v>600</v>
      </c>
      <c r="C20" s="87" t="s">
        <v>368</v>
      </c>
      <c r="D20" s="52" t="s">
        <v>401</v>
      </c>
      <c r="E20" s="35" t="s">
        <v>706</v>
      </c>
      <c r="F20" s="52" t="s">
        <v>46</v>
      </c>
      <c r="G20" s="52"/>
      <c r="H20" s="299">
        <v>44498</v>
      </c>
      <c r="I20" s="87">
        <f>H20+45</f>
        <v>44543</v>
      </c>
      <c r="J20" s="50">
        <f t="shared" si="0"/>
        <v>45</v>
      </c>
      <c r="K20" s="52" t="s">
        <v>320</v>
      </c>
      <c r="L20" s="87">
        <f>I20+30</f>
        <v>44573</v>
      </c>
      <c r="M20" s="52">
        <f>L20+(6*4.3*7)</f>
        <v>44753.599999999999</v>
      </c>
      <c r="N20" s="52"/>
      <c r="O20" s="50">
        <f t="shared" si="1"/>
        <v>5.999999999999952</v>
      </c>
      <c r="P20" s="50"/>
      <c r="Q20" s="50"/>
      <c r="R20" s="53">
        <v>380405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275">
        <v>25000</v>
      </c>
      <c r="AD20" s="275">
        <v>50000</v>
      </c>
      <c r="AE20" s="275">
        <v>50000</v>
      </c>
      <c r="AF20" s="275">
        <v>255405</v>
      </c>
      <c r="AG20" s="53"/>
      <c r="AH20" s="47"/>
      <c r="AI20" s="53">
        <f t="shared" si="2"/>
        <v>380405</v>
      </c>
      <c r="AJ20" s="51"/>
      <c r="AK20" s="218">
        <f t="shared" si="3"/>
        <v>0</v>
      </c>
    </row>
    <row r="21" spans="1:37" s="36" customFormat="1" ht="15.75" x14ac:dyDescent="0.25">
      <c r="A21" s="95"/>
      <c r="B21" s="95"/>
      <c r="C21" s="91"/>
      <c r="D21" s="91"/>
      <c r="E21" s="95"/>
      <c r="F21" s="91"/>
      <c r="G21" s="91"/>
      <c r="H21" s="91"/>
      <c r="I21" s="91"/>
      <c r="J21" s="92"/>
      <c r="K21" s="91"/>
      <c r="L21" s="91"/>
      <c r="M21" s="91"/>
      <c r="N21" s="91"/>
      <c r="O21" s="92"/>
      <c r="P21" s="92"/>
      <c r="Q21" s="92"/>
      <c r="R21" s="243">
        <f t="shared" ref="R21:AG21" si="4">SUM(R4:R20)</f>
        <v>11302066</v>
      </c>
      <c r="S21" s="243">
        <f t="shared" si="4"/>
        <v>2047245</v>
      </c>
      <c r="T21" s="243">
        <f t="shared" si="4"/>
        <v>702828</v>
      </c>
      <c r="U21" s="243">
        <f t="shared" si="4"/>
        <v>153598</v>
      </c>
      <c r="V21" s="243">
        <f t="shared" si="4"/>
        <v>849658</v>
      </c>
      <c r="W21" s="243">
        <f t="shared" si="4"/>
        <v>538775</v>
      </c>
      <c r="X21" s="243">
        <f t="shared" si="4"/>
        <v>755703</v>
      </c>
      <c r="Y21" s="243">
        <f t="shared" si="4"/>
        <v>739337</v>
      </c>
      <c r="Z21" s="243">
        <f t="shared" si="4"/>
        <v>204636</v>
      </c>
      <c r="AA21" s="243">
        <f t="shared" si="4"/>
        <v>810992</v>
      </c>
      <c r="AB21" s="243">
        <f>SUM(AB4:AB20)</f>
        <v>498956.42000000004</v>
      </c>
      <c r="AC21" s="243">
        <f t="shared" si="4"/>
        <v>800000</v>
      </c>
      <c r="AD21" s="243">
        <f t="shared" si="4"/>
        <v>950000</v>
      </c>
      <c r="AE21" s="243">
        <f t="shared" si="4"/>
        <v>794139</v>
      </c>
      <c r="AF21" s="243">
        <f t="shared" si="4"/>
        <v>1255155</v>
      </c>
      <c r="AG21" s="243">
        <f t="shared" si="4"/>
        <v>0</v>
      </c>
      <c r="AH21" s="47"/>
      <c r="AI21" s="59">
        <f t="shared" si="2"/>
        <v>11101022.42</v>
      </c>
      <c r="AJ21" s="51"/>
      <c r="AK21" s="218">
        <f t="shared" si="3"/>
        <v>-201043.58000000007</v>
      </c>
    </row>
    <row r="22" spans="1:37" s="36" customFormat="1" ht="15.75" x14ac:dyDescent="0.25">
      <c r="A22" s="106" t="s">
        <v>119</v>
      </c>
      <c r="B22" s="107"/>
      <c r="C22" s="101" t="s">
        <v>387</v>
      </c>
      <c r="D22" s="102"/>
      <c r="E22" s="107"/>
      <c r="F22" s="102"/>
      <c r="G22" s="102"/>
      <c r="H22" s="276"/>
      <c r="I22" s="276"/>
      <c r="J22" s="84"/>
      <c r="K22" s="102"/>
      <c r="L22" s="102"/>
      <c r="M22" s="102"/>
      <c r="N22" s="102"/>
      <c r="O22" s="84"/>
      <c r="P22" s="84"/>
      <c r="Q22" s="84"/>
      <c r="R22" s="193"/>
      <c r="S22" s="85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47"/>
      <c r="AI22" s="85"/>
      <c r="AJ22" s="51"/>
      <c r="AK22" s="218">
        <f t="shared" si="3"/>
        <v>0</v>
      </c>
    </row>
    <row r="23" spans="1:37" s="36" customFormat="1" ht="15.75" x14ac:dyDescent="0.25">
      <c r="A23" s="221" t="s">
        <v>116</v>
      </c>
      <c r="B23" s="309" t="s">
        <v>117</v>
      </c>
      <c r="C23" s="310" t="s">
        <v>387</v>
      </c>
      <c r="D23" s="310" t="s">
        <v>402</v>
      </c>
      <c r="E23" s="315" t="s">
        <v>624</v>
      </c>
      <c r="F23" s="310" t="s">
        <v>237</v>
      </c>
      <c r="G23" s="310"/>
      <c r="H23" s="318">
        <v>44317</v>
      </c>
      <c r="I23" s="318">
        <v>44378</v>
      </c>
      <c r="J23" s="331">
        <f>I23-H23</f>
        <v>61</v>
      </c>
      <c r="K23" s="310" t="s">
        <v>370</v>
      </c>
      <c r="L23" s="318">
        <v>44075</v>
      </c>
      <c r="M23" s="318">
        <v>44286</v>
      </c>
      <c r="N23" s="318"/>
      <c r="O23" s="311">
        <f>((M23-L23)/7)/4.3</f>
        <v>7.0099667774086383</v>
      </c>
      <c r="P23" s="311" t="s">
        <v>237</v>
      </c>
      <c r="Q23" s="311"/>
      <c r="R23" s="306">
        <v>940687</v>
      </c>
      <c r="S23" s="115">
        <v>720455</v>
      </c>
      <c r="T23" s="115">
        <v>114649</v>
      </c>
      <c r="U23" s="115">
        <v>0</v>
      </c>
      <c r="V23" s="115">
        <v>105583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47"/>
      <c r="AI23" s="53">
        <f>SUM(S23:AH23)</f>
        <v>940687</v>
      </c>
      <c r="AJ23" s="51"/>
      <c r="AK23" s="218">
        <f t="shared" si="3"/>
        <v>0</v>
      </c>
    </row>
    <row r="24" spans="1:37" s="36" customFormat="1" ht="15.75" x14ac:dyDescent="0.25">
      <c r="A24" s="222" t="s">
        <v>121</v>
      </c>
      <c r="B24" s="315" t="s">
        <v>122</v>
      </c>
      <c r="C24" s="310" t="s">
        <v>387</v>
      </c>
      <c r="D24" s="310" t="s">
        <v>402</v>
      </c>
      <c r="E24" s="315" t="s">
        <v>123</v>
      </c>
      <c r="F24" s="310" t="s">
        <v>237</v>
      </c>
      <c r="G24" s="310"/>
      <c r="H24" s="318">
        <v>44317</v>
      </c>
      <c r="I24" s="318">
        <v>44378</v>
      </c>
      <c r="J24" s="331">
        <f>I24-H24</f>
        <v>61</v>
      </c>
      <c r="K24" s="310" t="s">
        <v>370</v>
      </c>
      <c r="L24" s="318">
        <v>44136</v>
      </c>
      <c r="M24" s="318">
        <v>44286</v>
      </c>
      <c r="N24" s="318"/>
      <c r="O24" s="311">
        <f>((M24-L24)/7)/4.3</f>
        <v>4.9833887043189371</v>
      </c>
      <c r="P24" s="311" t="s">
        <v>237</v>
      </c>
      <c r="Q24" s="311"/>
      <c r="R24" s="306">
        <v>226188</v>
      </c>
      <c r="S24" s="115">
        <v>64622</v>
      </c>
      <c r="T24" s="115">
        <v>39562</v>
      </c>
      <c r="U24" s="115">
        <v>18328</v>
      </c>
      <c r="V24" s="115">
        <v>101052</v>
      </c>
      <c r="W24" s="115">
        <v>2624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47"/>
      <c r="AI24" s="53">
        <f>SUM(S24:AH24)</f>
        <v>226188</v>
      </c>
      <c r="AJ24" s="51"/>
      <c r="AK24" s="218">
        <f t="shared" si="3"/>
        <v>0</v>
      </c>
    </row>
    <row r="25" spans="1:37" s="36" customFormat="1" ht="15.75" x14ac:dyDescent="0.25">
      <c r="A25" s="222" t="s">
        <v>124</v>
      </c>
      <c r="B25" s="315" t="s">
        <v>125</v>
      </c>
      <c r="C25" s="310" t="s">
        <v>387</v>
      </c>
      <c r="D25" s="310" t="s">
        <v>402</v>
      </c>
      <c r="E25" s="315" t="s">
        <v>126</v>
      </c>
      <c r="F25" s="310" t="s">
        <v>237</v>
      </c>
      <c r="G25" s="310"/>
      <c r="H25" s="318">
        <v>44317</v>
      </c>
      <c r="I25" s="318">
        <v>44378</v>
      </c>
      <c r="J25" s="331">
        <f>I25-H25</f>
        <v>61</v>
      </c>
      <c r="K25" s="310" t="s">
        <v>370</v>
      </c>
      <c r="L25" s="318">
        <v>44136</v>
      </c>
      <c r="M25" s="318">
        <v>44286</v>
      </c>
      <c r="N25" s="318"/>
      <c r="O25" s="311">
        <f>((M25-L25)/7)/4.3</f>
        <v>4.9833887043189371</v>
      </c>
      <c r="P25" s="311" t="s">
        <v>237</v>
      </c>
      <c r="Q25" s="311"/>
      <c r="R25" s="306">
        <v>315962</v>
      </c>
      <c r="S25" s="115">
        <v>124791</v>
      </c>
      <c r="T25" s="115">
        <v>64927</v>
      </c>
      <c r="U25" s="115">
        <v>25844</v>
      </c>
      <c r="V25" s="115">
        <v>98461</v>
      </c>
      <c r="W25" s="115">
        <v>1939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47"/>
      <c r="AI25" s="53">
        <f>SUM(S25:AH25)</f>
        <v>315962</v>
      </c>
      <c r="AJ25" s="51"/>
      <c r="AK25" s="218">
        <f t="shared" si="3"/>
        <v>0</v>
      </c>
    </row>
    <row r="26" spans="1:37" s="36" customFormat="1" ht="15.75" x14ac:dyDescent="0.25">
      <c r="A26" s="97"/>
      <c r="B26" s="98"/>
      <c r="C26" s="91"/>
      <c r="D26" s="91"/>
      <c r="E26" s="98"/>
      <c r="F26" s="91"/>
      <c r="G26" s="91"/>
      <c r="H26" s="91"/>
      <c r="I26" s="91"/>
      <c r="J26" s="92"/>
      <c r="K26" s="91"/>
      <c r="L26" s="91"/>
      <c r="M26" s="91"/>
      <c r="N26" s="91"/>
      <c r="O26" s="92"/>
      <c r="P26" s="92"/>
      <c r="Q26" s="92"/>
      <c r="R26" s="59">
        <f t="shared" ref="R26:AG26" si="5">SUM(R23:R25)</f>
        <v>1482837</v>
      </c>
      <c r="S26" s="59">
        <f t="shared" si="5"/>
        <v>909868</v>
      </c>
      <c r="T26" s="59">
        <f t="shared" si="5"/>
        <v>219138</v>
      </c>
      <c r="U26" s="59">
        <f t="shared" si="5"/>
        <v>44172</v>
      </c>
      <c r="V26" s="59">
        <f t="shared" si="5"/>
        <v>305096</v>
      </c>
      <c r="W26" s="59">
        <f t="shared" si="5"/>
        <v>4563</v>
      </c>
      <c r="X26" s="59">
        <f t="shared" si="5"/>
        <v>0</v>
      </c>
      <c r="Y26" s="59">
        <f t="shared" si="5"/>
        <v>0</v>
      </c>
      <c r="Z26" s="59">
        <f t="shared" si="5"/>
        <v>0</v>
      </c>
      <c r="AA26" s="59">
        <f t="shared" si="5"/>
        <v>0</v>
      </c>
      <c r="AB26" s="59">
        <f t="shared" si="5"/>
        <v>0</v>
      </c>
      <c r="AC26" s="59">
        <f t="shared" si="5"/>
        <v>0</v>
      </c>
      <c r="AD26" s="59">
        <f t="shared" si="5"/>
        <v>0</v>
      </c>
      <c r="AE26" s="59">
        <f t="shared" si="5"/>
        <v>0</v>
      </c>
      <c r="AF26" s="59">
        <f t="shared" si="5"/>
        <v>0</v>
      </c>
      <c r="AG26" s="59">
        <f t="shared" si="5"/>
        <v>0</v>
      </c>
      <c r="AH26" s="47"/>
      <c r="AI26" s="53">
        <f>SUM(S26:AH26)</f>
        <v>1482837</v>
      </c>
      <c r="AJ26" s="51"/>
      <c r="AK26" s="218">
        <f t="shared" si="3"/>
        <v>0</v>
      </c>
    </row>
    <row r="27" spans="1:37" s="36" customFormat="1" ht="15.75" x14ac:dyDescent="0.25">
      <c r="A27" s="106" t="s">
        <v>379</v>
      </c>
      <c r="B27" s="107"/>
      <c r="C27" s="101" t="s">
        <v>380</v>
      </c>
      <c r="D27" s="102"/>
      <c r="E27" s="107"/>
      <c r="F27" s="102"/>
      <c r="G27" s="102"/>
      <c r="H27" s="276"/>
      <c r="I27" s="276"/>
      <c r="J27" s="84"/>
      <c r="K27" s="102"/>
      <c r="L27" s="102"/>
      <c r="M27" s="102"/>
      <c r="N27" s="102"/>
      <c r="O27" s="84"/>
      <c r="P27" s="84"/>
      <c r="Q27" s="84"/>
      <c r="R27" s="193"/>
      <c r="S27" s="85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47"/>
      <c r="AI27" s="85"/>
      <c r="AJ27" s="51"/>
      <c r="AK27" s="218">
        <f t="shared" si="3"/>
        <v>0</v>
      </c>
    </row>
    <row r="28" spans="1:37" s="36" customFormat="1" ht="15.75" x14ac:dyDescent="0.25">
      <c r="A28" s="319" t="s">
        <v>546</v>
      </c>
      <c r="B28" s="319" t="s">
        <v>610</v>
      </c>
      <c r="C28" s="321" t="s">
        <v>380</v>
      </c>
      <c r="D28" s="321" t="s">
        <v>575</v>
      </c>
      <c r="E28" s="319" t="s">
        <v>682</v>
      </c>
      <c r="F28" s="321" t="s">
        <v>46</v>
      </c>
      <c r="G28" s="321"/>
      <c r="H28" s="332" t="s">
        <v>24</v>
      </c>
      <c r="I28" s="332" t="s">
        <v>24</v>
      </c>
      <c r="J28" s="343" t="s">
        <v>24</v>
      </c>
      <c r="K28" s="332" t="s">
        <v>24</v>
      </c>
      <c r="L28" s="332">
        <v>44330</v>
      </c>
      <c r="M28" s="332">
        <v>44391</v>
      </c>
      <c r="N28" s="321"/>
      <c r="O28" s="322">
        <f t="shared" ref="O28:O35" si="6">((M28-L28)/7)/4.3</f>
        <v>2.0265780730897007</v>
      </c>
      <c r="P28" s="322"/>
      <c r="Q28" s="322"/>
      <c r="R28" s="323">
        <v>46806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46806</v>
      </c>
      <c r="AB28" s="115">
        <v>0</v>
      </c>
      <c r="AC28" s="58"/>
      <c r="AD28" s="58"/>
      <c r="AE28" s="58"/>
      <c r="AF28" s="58"/>
      <c r="AG28" s="58"/>
      <c r="AH28" s="47"/>
      <c r="AI28" s="53">
        <f t="shared" ref="AI28:AI38" si="7">SUM(S28:AH28)</f>
        <v>46806</v>
      </c>
      <c r="AJ28" s="51"/>
      <c r="AK28" s="218">
        <f t="shared" si="3"/>
        <v>0</v>
      </c>
    </row>
    <row r="29" spans="1:37" s="36" customFormat="1" ht="15.75" x14ac:dyDescent="0.25">
      <c r="A29" s="60" t="s">
        <v>495</v>
      </c>
      <c r="B29" s="61" t="s">
        <v>712</v>
      </c>
      <c r="C29" s="52" t="s">
        <v>380</v>
      </c>
      <c r="D29" s="52" t="s">
        <v>575</v>
      </c>
      <c r="E29" s="61" t="s">
        <v>264</v>
      </c>
      <c r="F29" s="52" t="s">
        <v>46</v>
      </c>
      <c r="G29" s="52"/>
      <c r="H29" s="330">
        <v>44348</v>
      </c>
      <c r="I29" s="330">
        <v>44362</v>
      </c>
      <c r="J29" s="333">
        <f t="shared" ref="J29:J35" si="8">I29-H29</f>
        <v>14</v>
      </c>
      <c r="K29" s="52" t="s">
        <v>370</v>
      </c>
      <c r="L29" s="330">
        <v>44344</v>
      </c>
      <c r="M29" s="52">
        <v>44497</v>
      </c>
      <c r="N29" s="52"/>
      <c r="O29" s="50">
        <f t="shared" si="6"/>
        <v>5.0830564784053163</v>
      </c>
      <c r="P29" s="50"/>
      <c r="Q29" s="50"/>
      <c r="R29" s="182">
        <v>89125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58100</v>
      </c>
      <c r="AB29" s="115">
        <v>0</v>
      </c>
      <c r="AC29" s="58"/>
      <c r="AD29" s="58"/>
      <c r="AE29" s="58"/>
      <c r="AF29" s="58"/>
      <c r="AG29" s="53"/>
      <c r="AH29" s="47"/>
      <c r="AI29" s="53">
        <f t="shared" si="7"/>
        <v>58100</v>
      </c>
      <c r="AJ29" s="51"/>
      <c r="AK29" s="218">
        <f t="shared" si="3"/>
        <v>-31025</v>
      </c>
    </row>
    <row r="30" spans="1:37" s="36" customFormat="1" ht="15.75" x14ac:dyDescent="0.25">
      <c r="A30" s="316" t="s">
        <v>551</v>
      </c>
      <c r="B30" s="317" t="s">
        <v>713</v>
      </c>
      <c r="C30" s="310" t="s">
        <v>380</v>
      </c>
      <c r="D30" s="310" t="s">
        <v>575</v>
      </c>
      <c r="E30" s="317" t="s">
        <v>625</v>
      </c>
      <c r="F30" s="310" t="s">
        <v>46</v>
      </c>
      <c r="G30" s="310"/>
      <c r="H30" s="318">
        <v>44348</v>
      </c>
      <c r="I30" s="318">
        <v>44362</v>
      </c>
      <c r="J30" s="331">
        <f t="shared" si="8"/>
        <v>14</v>
      </c>
      <c r="K30" s="310" t="s">
        <v>370</v>
      </c>
      <c r="L30" s="318">
        <v>44353</v>
      </c>
      <c r="M30" s="318">
        <v>44442</v>
      </c>
      <c r="N30" s="310"/>
      <c r="O30" s="311">
        <f t="shared" si="6"/>
        <v>2.9568106312292359</v>
      </c>
      <c r="P30" s="311"/>
      <c r="Q30" s="311"/>
      <c r="R30" s="306">
        <v>75650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75650</v>
      </c>
      <c r="AB30" s="115">
        <v>0</v>
      </c>
      <c r="AC30" s="58"/>
      <c r="AD30" s="58"/>
      <c r="AE30" s="58"/>
      <c r="AF30" s="58"/>
      <c r="AG30" s="53"/>
      <c r="AH30" s="47"/>
      <c r="AI30" s="53">
        <f t="shared" si="7"/>
        <v>75650</v>
      </c>
      <c r="AJ30" s="51"/>
      <c r="AK30" s="218">
        <f t="shared" si="3"/>
        <v>0</v>
      </c>
    </row>
    <row r="31" spans="1:37" s="36" customFormat="1" ht="15.75" x14ac:dyDescent="0.25">
      <c r="A31" s="60" t="s">
        <v>65</v>
      </c>
      <c r="B31" s="350" t="s">
        <v>531</v>
      </c>
      <c r="C31" s="52" t="s">
        <v>380</v>
      </c>
      <c r="D31" s="52" t="s">
        <v>575</v>
      </c>
      <c r="E31" s="61" t="s">
        <v>67</v>
      </c>
      <c r="F31" s="52" t="s">
        <v>46</v>
      </c>
      <c r="G31" s="52"/>
      <c r="H31" s="329">
        <v>43929</v>
      </c>
      <c r="I31" s="329">
        <v>44004</v>
      </c>
      <c r="J31" s="333">
        <f t="shared" si="8"/>
        <v>75</v>
      </c>
      <c r="K31" s="52" t="s">
        <v>370</v>
      </c>
      <c r="L31" s="330">
        <v>44004</v>
      </c>
      <c r="M31" s="347">
        <v>44469</v>
      </c>
      <c r="N31" s="87"/>
      <c r="O31" s="50">
        <f t="shared" si="6"/>
        <v>15.448504983388705</v>
      </c>
      <c r="P31" s="50"/>
      <c r="Q31" s="50"/>
      <c r="R31" s="182">
        <f>2471535+10495</f>
        <v>2482030</v>
      </c>
      <c r="S31" s="115">
        <v>1788494</v>
      </c>
      <c r="T31" s="115">
        <v>93223</v>
      </c>
      <c r="U31" s="115">
        <v>-90886</v>
      </c>
      <c r="V31" s="115">
        <v>247214</v>
      </c>
      <c r="W31" s="115">
        <f>164452+38564</f>
        <v>203016</v>
      </c>
      <c r="X31" s="115">
        <v>0</v>
      </c>
      <c r="Y31" s="115">
        <v>88152</v>
      </c>
      <c r="Z31" s="115">
        <f>20348+132469</f>
        <v>152817</v>
      </c>
      <c r="AA31" s="115">
        <v>0</v>
      </c>
      <c r="AB31" s="115">
        <v>0</v>
      </c>
      <c r="AC31" s="58"/>
      <c r="AD31" s="58"/>
      <c r="AE31" s="58"/>
      <c r="AF31" s="58"/>
      <c r="AG31" s="58"/>
      <c r="AH31" s="47"/>
      <c r="AI31" s="53">
        <f t="shared" si="7"/>
        <v>2482030</v>
      </c>
      <c r="AJ31" s="51"/>
      <c r="AK31" s="218">
        <f t="shared" si="3"/>
        <v>0</v>
      </c>
    </row>
    <row r="32" spans="1:37" s="36" customFormat="1" ht="15.75" x14ac:dyDescent="0.25">
      <c r="A32" s="34" t="s">
        <v>383</v>
      </c>
      <c r="B32" s="35" t="s">
        <v>384</v>
      </c>
      <c r="C32" s="52" t="s">
        <v>380</v>
      </c>
      <c r="D32" s="52" t="s">
        <v>575</v>
      </c>
      <c r="E32" s="300" t="s">
        <v>89</v>
      </c>
      <c r="F32" s="52" t="s">
        <v>46</v>
      </c>
      <c r="G32" s="52"/>
      <c r="H32" s="329">
        <v>44071</v>
      </c>
      <c r="I32" s="329">
        <v>44260</v>
      </c>
      <c r="J32" s="333">
        <f t="shared" si="8"/>
        <v>189</v>
      </c>
      <c r="K32" s="52" t="s">
        <v>370</v>
      </c>
      <c r="L32" s="329">
        <v>44290</v>
      </c>
      <c r="M32" s="87">
        <v>44484</v>
      </c>
      <c r="N32" s="87"/>
      <c r="O32" s="50">
        <f t="shared" si="6"/>
        <v>6.4451827242524926</v>
      </c>
      <c r="P32" s="50"/>
      <c r="Q32" s="50"/>
      <c r="R32" s="182">
        <v>683158</v>
      </c>
      <c r="S32" s="115">
        <v>65749</v>
      </c>
      <c r="T32" s="115">
        <v>0</v>
      </c>
      <c r="U32" s="115">
        <v>0</v>
      </c>
      <c r="V32" s="115">
        <v>72518</v>
      </c>
      <c r="W32" s="115">
        <v>31182</v>
      </c>
      <c r="X32" s="115">
        <v>36101</v>
      </c>
      <c r="Y32" s="115">
        <v>79510</v>
      </c>
      <c r="Z32" s="115">
        <f>53107+111611</f>
        <v>164718</v>
      </c>
      <c r="AA32" s="115">
        <v>104045</v>
      </c>
      <c r="AB32" s="115">
        <v>68162.760000000009</v>
      </c>
      <c r="AC32" s="275">
        <v>39335</v>
      </c>
      <c r="AD32" s="58"/>
      <c r="AE32" s="53"/>
      <c r="AF32" s="53"/>
      <c r="AG32" s="53"/>
      <c r="AH32" s="47"/>
      <c r="AI32" s="53">
        <f t="shared" si="7"/>
        <v>661320.76</v>
      </c>
      <c r="AJ32" s="51"/>
      <c r="AK32" s="218">
        <f t="shared" si="3"/>
        <v>-21837.239999999991</v>
      </c>
    </row>
    <row r="33" spans="1:38" s="36" customFormat="1" ht="15.75" x14ac:dyDescent="0.25">
      <c r="A33" s="34" t="s">
        <v>92</v>
      </c>
      <c r="B33" s="35" t="s">
        <v>543</v>
      </c>
      <c r="C33" s="52" t="s">
        <v>380</v>
      </c>
      <c r="D33" s="52" t="s">
        <v>575</v>
      </c>
      <c r="E33" s="35" t="s">
        <v>94</v>
      </c>
      <c r="F33" s="52" t="s">
        <v>46</v>
      </c>
      <c r="G33" s="52"/>
      <c r="H33" s="330">
        <v>44120</v>
      </c>
      <c r="I33" s="330">
        <v>44246</v>
      </c>
      <c r="J33" s="333">
        <f t="shared" si="8"/>
        <v>126</v>
      </c>
      <c r="K33" s="52" t="s">
        <v>370</v>
      </c>
      <c r="L33" s="329">
        <v>44256</v>
      </c>
      <c r="M33" s="87">
        <v>44557</v>
      </c>
      <c r="N33" s="87"/>
      <c r="O33" s="50">
        <f t="shared" si="6"/>
        <v>10</v>
      </c>
      <c r="P33" s="50"/>
      <c r="Q33" s="50"/>
      <c r="R33" s="182">
        <v>1436404</v>
      </c>
      <c r="S33" s="115">
        <v>91138</v>
      </c>
      <c r="T33" s="115">
        <v>0</v>
      </c>
      <c r="U33" s="115">
        <v>0</v>
      </c>
      <c r="V33" s="115">
        <v>0</v>
      </c>
      <c r="W33" s="115">
        <v>55754</v>
      </c>
      <c r="X33" s="115">
        <f>82399+102660</f>
        <v>185059</v>
      </c>
      <c r="Y33" s="115">
        <v>486176</v>
      </c>
      <c r="Z33" s="115">
        <v>117904</v>
      </c>
      <c r="AA33" s="115">
        <v>116211</v>
      </c>
      <c r="AB33" s="115">
        <v>178250.15</v>
      </c>
      <c r="AC33" s="275">
        <v>125000</v>
      </c>
      <c r="AD33" s="275">
        <v>100000</v>
      </c>
      <c r="AE33" s="275">
        <v>34162</v>
      </c>
      <c r="AF33" s="58"/>
      <c r="AG33" s="53"/>
      <c r="AH33" s="47"/>
      <c r="AI33" s="53">
        <f t="shared" si="7"/>
        <v>1489654.15</v>
      </c>
      <c r="AJ33" s="51"/>
      <c r="AK33" s="218">
        <f t="shared" si="3"/>
        <v>53250.149999999907</v>
      </c>
    </row>
    <row r="34" spans="1:38" s="36" customFormat="1" ht="15.75" x14ac:dyDescent="0.25">
      <c r="A34" s="34" t="s">
        <v>96</v>
      </c>
      <c r="B34" s="35" t="s">
        <v>97</v>
      </c>
      <c r="C34" s="52" t="s">
        <v>380</v>
      </c>
      <c r="D34" s="52" t="s">
        <v>575</v>
      </c>
      <c r="E34" s="35" t="s">
        <v>98</v>
      </c>
      <c r="F34" s="52" t="s">
        <v>46</v>
      </c>
      <c r="G34" s="52"/>
      <c r="H34" s="330">
        <v>44168</v>
      </c>
      <c r="I34" s="330">
        <v>44280</v>
      </c>
      <c r="J34" s="333">
        <f t="shared" si="8"/>
        <v>112</v>
      </c>
      <c r="K34" s="52" t="s">
        <v>370</v>
      </c>
      <c r="L34" s="329">
        <v>44284</v>
      </c>
      <c r="M34" s="87">
        <v>44524.800000000003</v>
      </c>
      <c r="N34" s="87"/>
      <c r="O34" s="50">
        <f t="shared" si="6"/>
        <v>8.0000000000000977</v>
      </c>
      <c r="P34" s="50"/>
      <c r="Q34" s="50"/>
      <c r="R34" s="182">
        <v>648253</v>
      </c>
      <c r="S34" s="115">
        <v>124344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82390</v>
      </c>
      <c r="Z34" s="115">
        <v>0</v>
      </c>
      <c r="AA34" s="115">
        <v>125825</v>
      </c>
      <c r="AB34" s="115">
        <v>199275.86</v>
      </c>
      <c r="AC34" s="275">
        <v>100000</v>
      </c>
      <c r="AD34" s="275">
        <v>85694</v>
      </c>
      <c r="AE34" s="58"/>
      <c r="AF34" s="53"/>
      <c r="AG34" s="53"/>
      <c r="AH34" s="47"/>
      <c r="AI34" s="53">
        <f t="shared" si="7"/>
        <v>717528.86</v>
      </c>
      <c r="AJ34" s="51"/>
      <c r="AK34" s="218">
        <f t="shared" si="3"/>
        <v>69275.859999999986</v>
      </c>
    </row>
    <row r="35" spans="1:38" s="36" customFormat="1" ht="15.75" x14ac:dyDescent="0.25">
      <c r="A35" s="60" t="s">
        <v>99</v>
      </c>
      <c r="B35" s="61" t="s">
        <v>100</v>
      </c>
      <c r="C35" s="52" t="s">
        <v>380</v>
      </c>
      <c r="D35" s="52" t="s">
        <v>575</v>
      </c>
      <c r="E35" s="61" t="s">
        <v>101</v>
      </c>
      <c r="F35" s="52" t="s">
        <v>46</v>
      </c>
      <c r="G35" s="52"/>
      <c r="H35" s="330">
        <v>44168</v>
      </c>
      <c r="I35" s="330">
        <v>44280</v>
      </c>
      <c r="J35" s="333">
        <f t="shared" si="8"/>
        <v>112</v>
      </c>
      <c r="K35" s="52" t="s">
        <v>370</v>
      </c>
      <c r="L35" s="329">
        <v>44284</v>
      </c>
      <c r="M35" s="87">
        <v>44524</v>
      </c>
      <c r="N35" s="87"/>
      <c r="O35" s="50">
        <f t="shared" si="6"/>
        <v>7.9734219269102988</v>
      </c>
      <c r="P35" s="50"/>
      <c r="Q35" s="50"/>
      <c r="R35" s="182">
        <v>400187</v>
      </c>
      <c r="S35" s="115">
        <v>14681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50940</v>
      </c>
      <c r="Z35" s="115">
        <v>0</v>
      </c>
      <c r="AA35" s="115">
        <v>231205</v>
      </c>
      <c r="AB35" s="115">
        <v>53980.66</v>
      </c>
      <c r="AC35" s="275">
        <v>50000</v>
      </c>
      <c r="AD35" s="275">
        <v>3361</v>
      </c>
      <c r="AE35" s="58"/>
      <c r="AF35" s="53"/>
      <c r="AG35" s="53"/>
      <c r="AH35" s="47"/>
      <c r="AI35" s="53">
        <f t="shared" si="7"/>
        <v>404167.66000000003</v>
      </c>
      <c r="AJ35" s="51"/>
      <c r="AK35" s="218">
        <f t="shared" si="3"/>
        <v>3980.6600000000326</v>
      </c>
    </row>
    <row r="36" spans="1:38" s="36" customFormat="1" ht="15.75" x14ac:dyDescent="0.25">
      <c r="A36" s="113" t="s">
        <v>102</v>
      </c>
      <c r="B36" s="114" t="s">
        <v>385</v>
      </c>
      <c r="C36" s="52" t="s">
        <v>380</v>
      </c>
      <c r="D36" s="52" t="s">
        <v>575</v>
      </c>
      <c r="E36" s="114" t="s">
        <v>626</v>
      </c>
      <c r="F36" s="52" t="s">
        <v>46</v>
      </c>
      <c r="G36" s="52"/>
      <c r="H36" s="330" t="s">
        <v>24</v>
      </c>
      <c r="I36" s="330" t="s">
        <v>24</v>
      </c>
      <c r="J36" s="333" t="s">
        <v>24</v>
      </c>
      <c r="K36" s="333" t="s">
        <v>24</v>
      </c>
      <c r="L36" s="333" t="s">
        <v>24</v>
      </c>
      <c r="M36" s="333" t="s">
        <v>24</v>
      </c>
      <c r="N36" s="333" t="s">
        <v>24</v>
      </c>
      <c r="O36" s="333" t="s">
        <v>24</v>
      </c>
      <c r="P36" s="333" t="s">
        <v>24</v>
      </c>
      <c r="Q36" s="333" t="s">
        <v>24</v>
      </c>
      <c r="R36" s="86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58"/>
      <c r="AD36" s="58"/>
      <c r="AE36" s="58"/>
      <c r="AF36" s="58"/>
      <c r="AG36" s="58"/>
      <c r="AH36" s="47"/>
      <c r="AI36" s="53">
        <f t="shared" si="7"/>
        <v>0</v>
      </c>
      <c r="AJ36" s="51"/>
      <c r="AK36" s="218">
        <f t="shared" si="3"/>
        <v>0</v>
      </c>
    </row>
    <row r="37" spans="1:38" s="36" customFormat="1" ht="15.75" x14ac:dyDescent="0.25">
      <c r="A37" s="113" t="s">
        <v>107</v>
      </c>
      <c r="B37" s="186" t="s">
        <v>108</v>
      </c>
      <c r="C37" s="52" t="s">
        <v>380</v>
      </c>
      <c r="D37" s="52" t="s">
        <v>575</v>
      </c>
      <c r="E37" s="114" t="s">
        <v>109</v>
      </c>
      <c r="F37" s="52" t="s">
        <v>46</v>
      </c>
      <c r="G37" s="52"/>
      <c r="H37" s="330">
        <v>44419</v>
      </c>
      <c r="I37" s="299">
        <v>44477</v>
      </c>
      <c r="J37" s="333">
        <f>I37-H37</f>
        <v>58</v>
      </c>
      <c r="K37" s="52" t="s">
        <v>370</v>
      </c>
      <c r="L37" s="347">
        <v>44454</v>
      </c>
      <c r="M37" s="52">
        <v>44526.400000000001</v>
      </c>
      <c r="N37" s="52"/>
      <c r="O37" s="50">
        <f>((M37-L37)/7)/4.3</f>
        <v>2.4053156146179888</v>
      </c>
      <c r="P37" s="50"/>
      <c r="Q37" s="50"/>
      <c r="R37" s="86">
        <v>330000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275">
        <v>85000</v>
      </c>
      <c r="AD37" s="275">
        <v>85000</v>
      </c>
      <c r="AE37" s="275">
        <v>75000</v>
      </c>
      <c r="AF37" s="58"/>
      <c r="AG37" s="53"/>
      <c r="AH37" s="47"/>
      <c r="AI37" s="53">
        <f t="shared" si="7"/>
        <v>245000</v>
      </c>
      <c r="AJ37" s="51"/>
      <c r="AK37" s="218">
        <f t="shared" si="3"/>
        <v>-85000</v>
      </c>
    </row>
    <row r="38" spans="1:38" s="36" customFormat="1" ht="15.75" x14ac:dyDescent="0.25">
      <c r="A38" s="93"/>
      <c r="B38" s="94"/>
      <c r="C38" s="91"/>
      <c r="D38" s="91"/>
      <c r="E38" s="94"/>
      <c r="F38" s="91"/>
      <c r="G38" s="91"/>
      <c r="H38" s="91"/>
      <c r="I38" s="91"/>
      <c r="J38" s="92"/>
      <c r="K38" s="91"/>
      <c r="L38" s="91"/>
      <c r="M38" s="91"/>
      <c r="N38" s="91"/>
      <c r="O38" s="92"/>
      <c r="P38" s="92"/>
      <c r="Q38" s="92"/>
      <c r="R38" s="59">
        <f t="shared" ref="R38:AG38" si="9">SUM(R28:R37)</f>
        <v>6191613</v>
      </c>
      <c r="S38" s="59">
        <f t="shared" si="9"/>
        <v>2084406</v>
      </c>
      <c r="T38" s="59">
        <f t="shared" si="9"/>
        <v>93223</v>
      </c>
      <c r="U38" s="59">
        <f t="shared" si="9"/>
        <v>-90886</v>
      </c>
      <c r="V38" s="59">
        <f t="shared" si="9"/>
        <v>319732</v>
      </c>
      <c r="W38" s="59">
        <f t="shared" si="9"/>
        <v>289952</v>
      </c>
      <c r="X38" s="59">
        <f t="shared" si="9"/>
        <v>221160</v>
      </c>
      <c r="Y38" s="59">
        <f t="shared" si="9"/>
        <v>787168</v>
      </c>
      <c r="Z38" s="59">
        <f t="shared" si="9"/>
        <v>435439</v>
      </c>
      <c r="AA38" s="59">
        <f t="shared" si="9"/>
        <v>757842</v>
      </c>
      <c r="AB38" s="59">
        <f t="shared" si="9"/>
        <v>499669.43000000005</v>
      </c>
      <c r="AC38" s="59">
        <f t="shared" si="9"/>
        <v>399335</v>
      </c>
      <c r="AD38" s="59">
        <f t="shared" si="9"/>
        <v>274055</v>
      </c>
      <c r="AE38" s="59">
        <f t="shared" si="9"/>
        <v>109162</v>
      </c>
      <c r="AF38" s="59">
        <f t="shared" si="9"/>
        <v>0</v>
      </c>
      <c r="AG38" s="59">
        <f t="shared" si="9"/>
        <v>0</v>
      </c>
      <c r="AH38" s="47"/>
      <c r="AI38" s="53">
        <f t="shared" si="7"/>
        <v>6180257.4299999997</v>
      </c>
      <c r="AJ38" s="51"/>
      <c r="AK38" s="218">
        <f t="shared" si="3"/>
        <v>-11355.570000000298</v>
      </c>
    </row>
    <row r="39" spans="1:38" s="36" customFormat="1" ht="15.75" x14ac:dyDescent="0.25">
      <c r="A39" s="106" t="s">
        <v>536</v>
      </c>
      <c r="B39" s="107"/>
      <c r="C39" s="101" t="s">
        <v>567</v>
      </c>
      <c r="D39" s="102"/>
      <c r="E39" s="107"/>
      <c r="F39" s="102"/>
      <c r="G39" s="102"/>
      <c r="H39" s="276"/>
      <c r="I39" s="276"/>
      <c r="J39" s="84"/>
      <c r="K39" s="102"/>
      <c r="L39" s="102"/>
      <c r="M39" s="102"/>
      <c r="N39" s="102"/>
      <c r="O39" s="84"/>
      <c r="P39" s="84"/>
      <c r="Q39" s="84"/>
      <c r="R39" s="193"/>
      <c r="S39" s="85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47"/>
      <c r="AI39" s="85"/>
      <c r="AJ39" s="51"/>
      <c r="AK39" s="218">
        <f t="shared" si="3"/>
        <v>0</v>
      </c>
    </row>
    <row r="40" spans="1:38" s="36" customFormat="1" ht="15.75" x14ac:dyDescent="0.25">
      <c r="A40" s="325" t="s">
        <v>434</v>
      </c>
      <c r="B40" s="326" t="s">
        <v>537</v>
      </c>
      <c r="C40" s="310" t="s">
        <v>567</v>
      </c>
      <c r="D40" s="310" t="s">
        <v>567</v>
      </c>
      <c r="E40" s="326"/>
      <c r="F40" s="310" t="s">
        <v>237</v>
      </c>
      <c r="G40" s="310"/>
      <c r="H40" s="318" t="s">
        <v>24</v>
      </c>
      <c r="I40" s="318" t="s">
        <v>24</v>
      </c>
      <c r="J40" s="331" t="s">
        <v>24</v>
      </c>
      <c r="K40" s="331" t="s">
        <v>24</v>
      </c>
      <c r="L40" s="318" t="s">
        <v>24</v>
      </c>
      <c r="M40" s="318" t="s">
        <v>24</v>
      </c>
      <c r="N40" s="318" t="s">
        <v>24</v>
      </c>
      <c r="O40" s="318" t="s">
        <v>24</v>
      </c>
      <c r="P40" s="318" t="s">
        <v>24</v>
      </c>
      <c r="Q40" s="310"/>
      <c r="R40" s="327">
        <f>353138+108818</f>
        <v>461956</v>
      </c>
      <c r="S40" s="115">
        <v>0</v>
      </c>
      <c r="T40" s="115">
        <v>353138</v>
      </c>
      <c r="U40" s="115">
        <v>108818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/>
      <c r="AC40" s="58"/>
      <c r="AD40" s="58"/>
      <c r="AE40" s="58"/>
      <c r="AF40" s="58"/>
      <c r="AG40" s="58"/>
      <c r="AH40" s="47"/>
      <c r="AI40" s="53">
        <f>SUM(S40:AH40)</f>
        <v>461956</v>
      </c>
      <c r="AJ40" s="51"/>
      <c r="AK40" s="218">
        <f t="shared" si="3"/>
        <v>0</v>
      </c>
    </row>
    <row r="41" spans="1:38" s="36" customFormat="1" ht="15.75" x14ac:dyDescent="0.25">
      <c r="A41" s="179" t="s">
        <v>197</v>
      </c>
      <c r="B41" s="180" t="s">
        <v>198</v>
      </c>
      <c r="C41" s="52" t="s">
        <v>567</v>
      </c>
      <c r="D41" s="52" t="s">
        <v>567</v>
      </c>
      <c r="E41" s="180" t="s">
        <v>683</v>
      </c>
      <c r="F41" s="52" t="s">
        <v>46</v>
      </c>
      <c r="G41" s="52"/>
      <c r="H41" s="330" t="s">
        <v>24</v>
      </c>
      <c r="I41" s="330" t="s">
        <v>24</v>
      </c>
      <c r="J41" s="333" t="s">
        <v>24</v>
      </c>
      <c r="K41" s="52" t="s">
        <v>370</v>
      </c>
      <c r="L41" s="330">
        <v>44195</v>
      </c>
      <c r="M41" s="52">
        <v>44469</v>
      </c>
      <c r="N41" s="52"/>
      <c r="O41" s="50">
        <f>((M41-L41)/7)/4.3</f>
        <v>9.1029900332225928</v>
      </c>
      <c r="P41" s="50"/>
      <c r="Q41" s="50"/>
      <c r="R41" s="247">
        <v>500577</v>
      </c>
      <c r="S41" s="115">
        <v>0</v>
      </c>
      <c r="T41" s="115">
        <v>0</v>
      </c>
      <c r="U41" s="115">
        <v>17615</v>
      </c>
      <c r="V41" s="115">
        <v>71648</v>
      </c>
      <c r="W41" s="115">
        <v>0</v>
      </c>
      <c r="X41" s="115">
        <v>97695</v>
      </c>
      <c r="Y41" s="115">
        <v>103125</v>
      </c>
      <c r="Z41" s="115">
        <v>92500</v>
      </c>
      <c r="AA41" s="115">
        <v>117994</v>
      </c>
      <c r="AB41" s="115"/>
      <c r="AC41" s="58"/>
      <c r="AD41" s="58"/>
      <c r="AE41" s="58"/>
      <c r="AF41" s="58"/>
      <c r="AG41" s="58"/>
      <c r="AH41" s="47"/>
      <c r="AI41" s="53">
        <f>SUM(S41:AH41)</f>
        <v>500577</v>
      </c>
      <c r="AJ41" s="51"/>
      <c r="AK41" s="218">
        <f t="shared" si="3"/>
        <v>0</v>
      </c>
    </row>
    <row r="42" spans="1:38" s="36" customFormat="1" ht="15.75" x14ac:dyDescent="0.25">
      <c r="A42" s="93"/>
      <c r="B42" s="94"/>
      <c r="C42" s="91"/>
      <c r="D42" s="91"/>
      <c r="E42" s="94"/>
      <c r="F42" s="91"/>
      <c r="G42" s="91"/>
      <c r="H42" s="91"/>
      <c r="I42" s="91"/>
      <c r="J42" s="92"/>
      <c r="K42" s="91"/>
      <c r="L42" s="91"/>
      <c r="M42" s="91"/>
      <c r="N42" s="91"/>
      <c r="O42" s="92"/>
      <c r="P42" s="92"/>
      <c r="Q42" s="92"/>
      <c r="R42" s="243">
        <f t="shared" ref="R42:AG42" si="10">SUM(R40:R41)</f>
        <v>962533</v>
      </c>
      <c r="S42" s="59">
        <f t="shared" si="10"/>
        <v>0</v>
      </c>
      <c r="T42" s="59">
        <f t="shared" si="10"/>
        <v>353138</v>
      </c>
      <c r="U42" s="59">
        <f t="shared" si="10"/>
        <v>126433</v>
      </c>
      <c r="V42" s="59">
        <f t="shared" si="10"/>
        <v>71648</v>
      </c>
      <c r="W42" s="59">
        <f t="shared" si="10"/>
        <v>0</v>
      </c>
      <c r="X42" s="59">
        <f t="shared" si="10"/>
        <v>97695</v>
      </c>
      <c r="Y42" s="59">
        <f t="shared" si="10"/>
        <v>103125</v>
      </c>
      <c r="Z42" s="59">
        <f t="shared" si="10"/>
        <v>92500</v>
      </c>
      <c r="AA42" s="59">
        <f t="shared" si="10"/>
        <v>117994</v>
      </c>
      <c r="AB42" s="59">
        <f t="shared" si="10"/>
        <v>0</v>
      </c>
      <c r="AC42" s="59">
        <f t="shared" si="10"/>
        <v>0</v>
      </c>
      <c r="AD42" s="59">
        <f t="shared" si="10"/>
        <v>0</v>
      </c>
      <c r="AE42" s="59">
        <f t="shared" si="10"/>
        <v>0</v>
      </c>
      <c r="AF42" s="59">
        <f t="shared" si="10"/>
        <v>0</v>
      </c>
      <c r="AG42" s="59">
        <f t="shared" si="10"/>
        <v>0</v>
      </c>
      <c r="AH42" s="47"/>
      <c r="AI42" s="53">
        <f>SUM(S42:AH42)</f>
        <v>962533</v>
      </c>
      <c r="AJ42" s="51"/>
      <c r="AK42" s="218">
        <f t="shared" si="3"/>
        <v>0</v>
      </c>
    </row>
    <row r="43" spans="1:38" s="36" customFormat="1" ht="15.75" x14ac:dyDescent="0.25">
      <c r="A43" s="106" t="s">
        <v>569</v>
      </c>
      <c r="B43" s="107"/>
      <c r="C43" s="101" t="s">
        <v>562</v>
      </c>
      <c r="D43" s="102"/>
      <c r="E43" s="107"/>
      <c r="F43" s="102"/>
      <c r="G43" s="102"/>
      <c r="H43" s="276"/>
      <c r="I43" s="276"/>
      <c r="J43" s="84"/>
      <c r="K43" s="102"/>
      <c r="L43" s="102"/>
      <c r="M43" s="102"/>
      <c r="N43" s="102"/>
      <c r="O43" s="84"/>
      <c r="P43" s="84"/>
      <c r="Q43" s="84"/>
      <c r="R43" s="193"/>
      <c r="S43" s="85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47"/>
      <c r="AI43" s="85"/>
      <c r="AJ43" s="51"/>
      <c r="AK43" s="218">
        <f t="shared" si="3"/>
        <v>0</v>
      </c>
    </row>
    <row r="44" spans="1:38" s="36" customFormat="1" ht="15.75" x14ac:dyDescent="0.25">
      <c r="A44" s="334" t="s">
        <v>127</v>
      </c>
      <c r="B44" s="335" t="s">
        <v>396</v>
      </c>
      <c r="C44" s="321" t="s">
        <v>562</v>
      </c>
      <c r="D44" s="321" t="s">
        <v>402</v>
      </c>
      <c r="E44" s="335" t="s">
        <v>447</v>
      </c>
      <c r="F44" s="321" t="s">
        <v>46</v>
      </c>
      <c r="G44" s="321"/>
      <c r="H44" s="332">
        <v>44253</v>
      </c>
      <c r="I44" s="332">
        <v>44272</v>
      </c>
      <c r="J44" s="343">
        <f>I44-H44</f>
        <v>19</v>
      </c>
      <c r="K44" s="321" t="s">
        <v>370</v>
      </c>
      <c r="L44" s="332">
        <v>44272</v>
      </c>
      <c r="M44" s="332">
        <v>44435</v>
      </c>
      <c r="N44" s="332"/>
      <c r="O44" s="322">
        <f>((M44-L44)/7)/4.3</f>
        <v>5.4152823920265778</v>
      </c>
      <c r="P44" s="322"/>
      <c r="Q44" s="322"/>
      <c r="R44" s="323">
        <v>383545</v>
      </c>
      <c r="S44" s="115">
        <v>0</v>
      </c>
      <c r="T44" s="115">
        <v>0</v>
      </c>
      <c r="U44" s="115">
        <v>0</v>
      </c>
      <c r="V44" s="115">
        <v>0</v>
      </c>
      <c r="W44" s="115">
        <f>84179+34753</f>
        <v>118932</v>
      </c>
      <c r="X44" s="115">
        <f>93305+17005</f>
        <v>110310</v>
      </c>
      <c r="Y44" s="115">
        <v>66219</v>
      </c>
      <c r="Z44" s="115">
        <v>58693</v>
      </c>
      <c r="AA44" s="115">
        <v>29391</v>
      </c>
      <c r="AB44" s="115">
        <v>0</v>
      </c>
      <c r="AC44" s="58"/>
      <c r="AD44" s="58"/>
      <c r="AE44" s="58"/>
      <c r="AF44" s="58"/>
      <c r="AG44" s="58"/>
      <c r="AH44" s="47"/>
      <c r="AI44" s="53">
        <f>SUM(S44:AH44)</f>
        <v>383545</v>
      </c>
      <c r="AJ44" s="51"/>
      <c r="AK44" s="218">
        <f t="shared" si="3"/>
        <v>0</v>
      </c>
    </row>
    <row r="45" spans="1:38" s="36" customFormat="1" ht="15.75" x14ac:dyDescent="0.25">
      <c r="A45" s="104" t="s">
        <v>134</v>
      </c>
      <c r="B45" s="65" t="s">
        <v>135</v>
      </c>
      <c r="C45" s="52" t="s">
        <v>562</v>
      </c>
      <c r="D45" s="52" t="s">
        <v>566</v>
      </c>
      <c r="E45" s="65" t="s">
        <v>136</v>
      </c>
      <c r="F45" s="52" t="s">
        <v>46</v>
      </c>
      <c r="G45" s="52"/>
      <c r="H45" s="330">
        <v>44174</v>
      </c>
      <c r="I45" s="330">
        <v>44223</v>
      </c>
      <c r="J45" s="333">
        <f>I45-H45</f>
        <v>49</v>
      </c>
      <c r="K45" s="52" t="s">
        <v>370</v>
      </c>
      <c r="L45" s="330">
        <v>44382</v>
      </c>
      <c r="M45" s="347">
        <v>44540</v>
      </c>
      <c r="N45" s="52"/>
      <c r="O45" s="50">
        <f>((M45-L45)/7)/4.3</f>
        <v>5.249169435215947</v>
      </c>
      <c r="P45" s="50"/>
      <c r="Q45" s="50"/>
      <c r="R45" s="245">
        <v>1006579</v>
      </c>
      <c r="S45" s="115">
        <v>131243</v>
      </c>
      <c r="T45" s="115">
        <v>0</v>
      </c>
      <c r="U45" s="115">
        <v>0</v>
      </c>
      <c r="V45" s="115">
        <v>0</v>
      </c>
      <c r="W45" s="115"/>
      <c r="X45" s="115">
        <f>36571+46439</f>
        <v>83010</v>
      </c>
      <c r="Y45" s="115">
        <v>67371</v>
      </c>
      <c r="Z45" s="115">
        <v>0</v>
      </c>
      <c r="AA45" s="115">
        <v>103268</v>
      </c>
      <c r="AB45" s="115">
        <v>113601.11</v>
      </c>
      <c r="AC45" s="275">
        <v>225000</v>
      </c>
      <c r="AD45" s="275">
        <v>171687</v>
      </c>
      <c r="AE45" s="58"/>
      <c r="AF45" s="53"/>
      <c r="AG45" s="53"/>
      <c r="AH45" s="47"/>
      <c r="AI45" s="53">
        <f>SUM(S45:AH45)</f>
        <v>895180.11</v>
      </c>
      <c r="AJ45" s="51"/>
      <c r="AK45" s="218">
        <f t="shared" si="3"/>
        <v>-111398.89000000001</v>
      </c>
      <c r="AL45" s="36" t="s">
        <v>574</v>
      </c>
    </row>
    <row r="46" spans="1:38" s="36" customFormat="1" ht="15.75" x14ac:dyDescent="0.25">
      <c r="A46" s="34" t="s">
        <v>226</v>
      </c>
      <c r="B46" s="35" t="s">
        <v>442</v>
      </c>
      <c r="C46" s="52" t="s">
        <v>562</v>
      </c>
      <c r="D46" s="52" t="s">
        <v>565</v>
      </c>
      <c r="E46" s="35" t="s">
        <v>656</v>
      </c>
      <c r="F46" s="52" t="s">
        <v>46</v>
      </c>
      <c r="G46" s="52"/>
      <c r="H46" s="330">
        <v>44295</v>
      </c>
      <c r="I46" s="330">
        <v>44357</v>
      </c>
      <c r="J46" s="333">
        <f>I46-H46</f>
        <v>62</v>
      </c>
      <c r="K46" s="52" t="s">
        <v>370</v>
      </c>
      <c r="L46" s="330">
        <v>44387</v>
      </c>
      <c r="M46" s="347">
        <v>44540</v>
      </c>
      <c r="N46" s="52"/>
      <c r="O46" s="50">
        <f>((M46-L46)/7)/4.3</f>
        <v>5.0830564784053163</v>
      </c>
      <c r="P46" s="50"/>
      <c r="Q46" s="50"/>
      <c r="R46" s="182">
        <v>2259828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105517</v>
      </c>
      <c r="Y46" s="115">
        <v>201248</v>
      </c>
      <c r="Z46" s="115">
        <v>0</v>
      </c>
      <c r="AA46" s="115">
        <v>748228</v>
      </c>
      <c r="AB46" s="115">
        <v>181824.92</v>
      </c>
      <c r="AC46" s="275">
        <v>400000</v>
      </c>
      <c r="AD46" s="275">
        <v>300000</v>
      </c>
      <c r="AE46" s="275">
        <v>104835</v>
      </c>
      <c r="AF46" s="58"/>
      <c r="AG46" s="53"/>
      <c r="AH46" s="47"/>
      <c r="AI46" s="53">
        <f>SUM(S46:AH46)</f>
        <v>2041652.92</v>
      </c>
      <c r="AJ46" s="51"/>
      <c r="AK46" s="218">
        <f t="shared" si="3"/>
        <v>-218175.08000000007</v>
      </c>
    </row>
    <row r="47" spans="1:38" s="36" customFormat="1" ht="15.75" x14ac:dyDescent="0.25">
      <c r="A47" s="93"/>
      <c r="B47" s="94"/>
      <c r="C47" s="91"/>
      <c r="D47" s="91"/>
      <c r="E47" s="94"/>
      <c r="F47" s="91"/>
      <c r="G47" s="91"/>
      <c r="H47" s="91"/>
      <c r="I47" s="91"/>
      <c r="J47" s="92"/>
      <c r="K47" s="91"/>
      <c r="L47" s="91"/>
      <c r="M47" s="91"/>
      <c r="N47" s="91"/>
      <c r="O47" s="92"/>
      <c r="P47" s="92"/>
      <c r="Q47" s="92"/>
      <c r="R47" s="59">
        <f t="shared" ref="R47:AG47" si="11">SUM(R44:R46)</f>
        <v>3649952</v>
      </c>
      <c r="S47" s="59">
        <f t="shared" si="11"/>
        <v>131243</v>
      </c>
      <c r="T47" s="59">
        <f t="shared" si="11"/>
        <v>0</v>
      </c>
      <c r="U47" s="59">
        <f t="shared" si="11"/>
        <v>0</v>
      </c>
      <c r="V47" s="59">
        <f t="shared" si="11"/>
        <v>0</v>
      </c>
      <c r="W47" s="59">
        <f t="shared" si="11"/>
        <v>118932</v>
      </c>
      <c r="X47" s="59">
        <f t="shared" si="11"/>
        <v>298837</v>
      </c>
      <c r="Y47" s="59">
        <f t="shared" si="11"/>
        <v>334838</v>
      </c>
      <c r="Z47" s="59">
        <f t="shared" si="11"/>
        <v>58693</v>
      </c>
      <c r="AA47" s="59">
        <f t="shared" si="11"/>
        <v>880887</v>
      </c>
      <c r="AB47" s="59">
        <f t="shared" si="11"/>
        <v>295426.03000000003</v>
      </c>
      <c r="AC47" s="59">
        <f t="shared" si="11"/>
        <v>625000</v>
      </c>
      <c r="AD47" s="59">
        <f t="shared" si="11"/>
        <v>471687</v>
      </c>
      <c r="AE47" s="59">
        <f t="shared" si="11"/>
        <v>104835</v>
      </c>
      <c r="AF47" s="59">
        <f t="shared" si="11"/>
        <v>0</v>
      </c>
      <c r="AG47" s="59">
        <f t="shared" si="11"/>
        <v>0</v>
      </c>
      <c r="AH47" s="47"/>
      <c r="AI47" s="53">
        <f>SUM(S47:AH47)</f>
        <v>3320378.0300000003</v>
      </c>
      <c r="AJ47" s="51"/>
      <c r="AK47" s="218">
        <f t="shared" si="3"/>
        <v>-329573.96999999974</v>
      </c>
    </row>
    <row r="48" spans="1:38" s="36" customFormat="1" ht="15.75" x14ac:dyDescent="0.25">
      <c r="A48" s="106" t="s">
        <v>514</v>
      </c>
      <c r="B48" s="107"/>
      <c r="C48" s="101" t="s">
        <v>568</v>
      </c>
      <c r="D48" s="102"/>
      <c r="E48" s="107"/>
      <c r="F48" s="102"/>
      <c r="G48" s="102"/>
      <c r="H48" s="276"/>
      <c r="I48" s="276"/>
      <c r="J48" s="84"/>
      <c r="K48" s="102"/>
      <c r="L48" s="102"/>
      <c r="M48" s="102"/>
      <c r="N48" s="102"/>
      <c r="O48" s="84"/>
      <c r="P48" s="84"/>
      <c r="Q48" s="84"/>
      <c r="R48" s="193"/>
      <c r="S48" s="85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47"/>
      <c r="AI48" s="85"/>
      <c r="AJ48" s="51"/>
      <c r="AK48" s="218">
        <f t="shared" si="3"/>
        <v>0</v>
      </c>
    </row>
    <row r="49" spans="1:38" s="36" customFormat="1" ht="15.75" x14ac:dyDescent="0.25">
      <c r="A49" s="312" t="s">
        <v>180</v>
      </c>
      <c r="B49" s="312" t="s">
        <v>182</v>
      </c>
      <c r="C49" s="310" t="s">
        <v>568</v>
      </c>
      <c r="D49" s="310" t="s">
        <v>401</v>
      </c>
      <c r="E49" s="312" t="s">
        <v>697</v>
      </c>
      <c r="F49" s="310" t="s">
        <v>46</v>
      </c>
      <c r="G49" s="310"/>
      <c r="H49" s="318">
        <v>44307</v>
      </c>
      <c r="I49" s="318">
        <v>44417</v>
      </c>
      <c r="J49" s="331">
        <f>I49-H49</f>
        <v>110</v>
      </c>
      <c r="K49" s="310" t="s">
        <v>370</v>
      </c>
      <c r="L49" s="302" t="s">
        <v>24</v>
      </c>
      <c r="M49" s="310" t="s">
        <v>24</v>
      </c>
      <c r="N49" s="310"/>
      <c r="O49" s="311" t="s">
        <v>24</v>
      </c>
      <c r="P49" s="311"/>
      <c r="Q49" s="311"/>
      <c r="R49" s="351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/>
      <c r="AC49" s="53"/>
      <c r="AD49" s="53"/>
      <c r="AE49" s="53"/>
      <c r="AF49" s="53"/>
      <c r="AG49" s="53"/>
      <c r="AH49" s="47"/>
      <c r="AI49" s="53">
        <f>SUM(S49:AH49)</f>
        <v>0</v>
      </c>
      <c r="AJ49" s="51"/>
      <c r="AK49" s="218">
        <f t="shared" si="3"/>
        <v>0</v>
      </c>
    </row>
    <row r="50" spans="1:38" s="36" customFormat="1" ht="15.75" x14ac:dyDescent="0.25">
      <c r="A50" s="34" t="s">
        <v>185</v>
      </c>
      <c r="B50" s="35" t="s">
        <v>622</v>
      </c>
      <c r="C50" s="52" t="s">
        <v>568</v>
      </c>
      <c r="D50" s="87" t="s">
        <v>401</v>
      </c>
      <c r="E50" s="113" t="s">
        <v>696</v>
      </c>
      <c r="F50" s="52" t="s">
        <v>46</v>
      </c>
      <c r="G50" s="52"/>
      <c r="H50" s="330">
        <v>44328</v>
      </c>
      <c r="I50" s="330">
        <v>44418</v>
      </c>
      <c r="J50" s="333">
        <f>I50-H50</f>
        <v>90</v>
      </c>
      <c r="K50" s="52" t="s">
        <v>370</v>
      </c>
      <c r="L50" s="330">
        <v>44372</v>
      </c>
      <c r="M50" s="87">
        <v>44733</v>
      </c>
      <c r="N50" s="52"/>
      <c r="O50" s="50">
        <f>((M50-L50)/7)/4.3</f>
        <v>11.993355481727574</v>
      </c>
      <c r="P50" s="50"/>
      <c r="Q50" s="50"/>
      <c r="R50" s="182">
        <v>1961016</v>
      </c>
      <c r="S50" s="115">
        <v>0</v>
      </c>
      <c r="T50" s="115">
        <v>0</v>
      </c>
      <c r="U50" s="115"/>
      <c r="V50" s="115"/>
      <c r="W50" s="115">
        <f>233134</f>
        <v>233134</v>
      </c>
      <c r="X50" s="115">
        <v>0</v>
      </c>
      <c r="Y50" s="115">
        <v>0</v>
      </c>
      <c r="Z50" s="115">
        <v>72994</v>
      </c>
      <c r="AA50" s="115">
        <v>144486</v>
      </c>
      <c r="AB50" s="115">
        <v>174326.34</v>
      </c>
      <c r="AC50" s="275">
        <v>190000</v>
      </c>
      <c r="AD50" s="275">
        <v>165000</v>
      </c>
      <c r="AE50" s="275">
        <v>175000</v>
      </c>
      <c r="AF50" s="275">
        <v>805402</v>
      </c>
      <c r="AG50" s="53"/>
      <c r="AH50" s="47"/>
      <c r="AI50" s="53">
        <f>SUM(S50:AH50)</f>
        <v>1960342.3399999999</v>
      </c>
      <c r="AJ50" s="51"/>
      <c r="AK50" s="218">
        <f t="shared" si="3"/>
        <v>-673.66000000014901</v>
      </c>
    </row>
    <row r="51" spans="1:38" s="36" customFormat="1" ht="15.75" x14ac:dyDescent="0.25">
      <c r="A51" s="113" t="s">
        <v>203</v>
      </c>
      <c r="B51" s="35" t="s">
        <v>204</v>
      </c>
      <c r="C51" s="52" t="s">
        <v>568</v>
      </c>
      <c r="D51" s="52" t="s">
        <v>630</v>
      </c>
      <c r="E51" s="35" t="s">
        <v>684</v>
      </c>
      <c r="F51" s="52" t="s">
        <v>46</v>
      </c>
      <c r="G51" s="52"/>
      <c r="H51" s="330">
        <v>44369</v>
      </c>
      <c r="I51" s="329">
        <v>44461</v>
      </c>
      <c r="J51" s="333">
        <f>I51-H51</f>
        <v>92</v>
      </c>
      <c r="K51" s="52" t="s">
        <v>370</v>
      </c>
      <c r="L51" s="329">
        <v>44399</v>
      </c>
      <c r="M51" s="52">
        <v>44803</v>
      </c>
      <c r="N51" s="52"/>
      <c r="O51" s="50">
        <f>((M51-L51)/7)/4.3</f>
        <v>13.421926910299003</v>
      </c>
      <c r="P51" s="50"/>
      <c r="Q51" s="50"/>
      <c r="R51" s="53">
        <v>10000000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941343</v>
      </c>
      <c r="AB51" s="115">
        <v>403549.63</v>
      </c>
      <c r="AC51" s="275">
        <v>522000</v>
      </c>
      <c r="AD51" s="275">
        <v>522000</v>
      </c>
      <c r="AE51" s="275">
        <v>772000</v>
      </c>
      <c r="AF51" s="275">
        <v>5870657</v>
      </c>
      <c r="AG51" s="53"/>
      <c r="AH51" s="47"/>
      <c r="AI51" s="53">
        <f>SUM(S51:AH51)</f>
        <v>9031549.629999999</v>
      </c>
      <c r="AJ51" s="51"/>
      <c r="AK51" s="218">
        <f t="shared" si="3"/>
        <v>-968450.37000000104</v>
      </c>
    </row>
    <row r="52" spans="1:38" s="36" customFormat="1" ht="15.75" x14ac:dyDescent="0.25">
      <c r="A52" s="93"/>
      <c r="B52" s="94"/>
      <c r="C52" s="91"/>
      <c r="D52" s="91"/>
      <c r="E52" s="94"/>
      <c r="F52" s="91"/>
      <c r="G52" s="91"/>
      <c r="H52" s="91"/>
      <c r="I52" s="91"/>
      <c r="J52" s="92"/>
      <c r="K52" s="91"/>
      <c r="L52" s="91"/>
      <c r="M52" s="91"/>
      <c r="N52" s="91"/>
      <c r="O52" s="92"/>
      <c r="P52" s="92"/>
      <c r="Q52" s="92"/>
      <c r="R52" s="59">
        <f t="shared" ref="R52:AG52" si="12">SUM(R49:R51)</f>
        <v>11961016</v>
      </c>
      <c r="S52" s="59">
        <f t="shared" si="12"/>
        <v>0</v>
      </c>
      <c r="T52" s="59">
        <f t="shared" si="12"/>
        <v>0</v>
      </c>
      <c r="U52" s="59">
        <f t="shared" si="12"/>
        <v>0</v>
      </c>
      <c r="V52" s="59">
        <f t="shared" si="12"/>
        <v>0</v>
      </c>
      <c r="W52" s="59">
        <f t="shared" si="12"/>
        <v>233134</v>
      </c>
      <c r="X52" s="59">
        <f t="shared" si="12"/>
        <v>0</v>
      </c>
      <c r="Y52" s="59">
        <f t="shared" si="12"/>
        <v>0</v>
      </c>
      <c r="Z52" s="59">
        <f t="shared" si="12"/>
        <v>72994</v>
      </c>
      <c r="AA52" s="59">
        <f t="shared" si="12"/>
        <v>1085829</v>
      </c>
      <c r="AB52" s="59">
        <f t="shared" si="12"/>
        <v>577875.97</v>
      </c>
      <c r="AC52" s="59">
        <f t="shared" si="12"/>
        <v>712000</v>
      </c>
      <c r="AD52" s="59">
        <f t="shared" si="12"/>
        <v>687000</v>
      </c>
      <c r="AE52" s="59">
        <f t="shared" si="12"/>
        <v>947000</v>
      </c>
      <c r="AF52" s="59">
        <f t="shared" si="12"/>
        <v>6676059</v>
      </c>
      <c r="AG52" s="59">
        <f t="shared" si="12"/>
        <v>0</v>
      </c>
      <c r="AH52" s="47"/>
      <c r="AI52" s="53">
        <f>SUM(S52:AH52)</f>
        <v>10991891.969999999</v>
      </c>
      <c r="AJ52" s="51"/>
      <c r="AK52" s="218">
        <f t="shared" si="3"/>
        <v>-969124.03000000119</v>
      </c>
    </row>
    <row r="53" spans="1:38" s="36" customFormat="1" ht="15.75" x14ac:dyDescent="0.25">
      <c r="A53" s="106" t="s">
        <v>234</v>
      </c>
      <c r="B53" s="107"/>
      <c r="C53" s="101" t="s">
        <v>570</v>
      </c>
      <c r="D53" s="102"/>
      <c r="E53" s="107"/>
      <c r="F53" s="102"/>
      <c r="G53" s="102"/>
      <c r="H53" s="276"/>
      <c r="I53" s="276"/>
      <c r="J53" s="84"/>
      <c r="K53" s="102"/>
      <c r="L53" s="102"/>
      <c r="M53" s="102"/>
      <c r="N53" s="102"/>
      <c r="O53" s="84"/>
      <c r="P53" s="84"/>
      <c r="Q53" s="84"/>
      <c r="R53" s="193"/>
      <c r="S53" s="85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47"/>
      <c r="AI53" s="85"/>
      <c r="AJ53" s="51"/>
      <c r="AK53" s="218">
        <f t="shared" si="3"/>
        <v>0</v>
      </c>
    </row>
    <row r="54" spans="1:38" s="36" customFormat="1" ht="15.75" x14ac:dyDescent="0.25">
      <c r="A54" s="319" t="s">
        <v>238</v>
      </c>
      <c r="B54" s="320" t="s">
        <v>239</v>
      </c>
      <c r="C54" s="321" t="s">
        <v>570</v>
      </c>
      <c r="D54" s="321"/>
      <c r="E54" s="320" t="s">
        <v>632</v>
      </c>
      <c r="F54" s="321" t="s">
        <v>237</v>
      </c>
      <c r="G54" s="321"/>
      <c r="H54" s="321"/>
      <c r="I54" s="321"/>
      <c r="J54" s="322">
        <f>I54-H54</f>
        <v>0</v>
      </c>
      <c r="K54" s="321" t="s">
        <v>370</v>
      </c>
      <c r="L54" s="332">
        <v>43836</v>
      </c>
      <c r="M54" s="332">
        <v>44090</v>
      </c>
      <c r="N54" s="332"/>
      <c r="O54" s="322">
        <f>((M54-L54)/7)/4.3</f>
        <v>8.4385382059800662</v>
      </c>
      <c r="P54" s="322" t="s">
        <v>237</v>
      </c>
      <c r="Q54" s="322"/>
      <c r="R54" s="323">
        <f>1219262-1559</f>
        <v>1217703</v>
      </c>
      <c r="S54" s="115">
        <v>1206322</v>
      </c>
      <c r="T54" s="115">
        <v>11381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/>
      <c r="AC54" s="58"/>
      <c r="AD54" s="58"/>
      <c r="AE54" s="58"/>
      <c r="AF54" s="58"/>
      <c r="AG54" s="58"/>
      <c r="AH54" s="47"/>
      <c r="AI54" s="53">
        <f>SUM(S54:AH54)</f>
        <v>1217703</v>
      </c>
      <c r="AJ54" s="51"/>
      <c r="AK54" s="218">
        <f t="shared" si="3"/>
        <v>0</v>
      </c>
    </row>
    <row r="55" spans="1:38" s="36" customFormat="1" ht="15.75" x14ac:dyDescent="0.25">
      <c r="A55" s="319" t="s">
        <v>273</v>
      </c>
      <c r="B55" s="320" t="s">
        <v>274</v>
      </c>
      <c r="C55" s="321" t="s">
        <v>570</v>
      </c>
      <c r="D55" s="321"/>
      <c r="E55" s="320" t="s">
        <v>275</v>
      </c>
      <c r="F55" s="321" t="s">
        <v>237</v>
      </c>
      <c r="G55" s="321"/>
      <c r="H55" s="321"/>
      <c r="I55" s="321"/>
      <c r="J55" s="322">
        <f>I55-H55</f>
        <v>0</v>
      </c>
      <c r="K55" s="321" t="s">
        <v>370</v>
      </c>
      <c r="L55" s="332">
        <v>43889</v>
      </c>
      <c r="M55" s="332">
        <v>44187</v>
      </c>
      <c r="N55" s="332"/>
      <c r="O55" s="322">
        <f>((M55-L55)/7)/4.3</f>
        <v>9.9003322259136208</v>
      </c>
      <c r="P55" s="322" t="s">
        <v>237</v>
      </c>
      <c r="Q55" s="322"/>
      <c r="R55" s="323">
        <f>577676+1200</f>
        <v>578876</v>
      </c>
      <c r="S55" s="115">
        <v>568341</v>
      </c>
      <c r="T55" s="115">
        <v>2335</v>
      </c>
      <c r="U55" s="115">
        <v>0</v>
      </c>
      <c r="V55" s="115">
        <v>0</v>
      </c>
      <c r="W55" s="115">
        <v>0</v>
      </c>
      <c r="X55" s="115">
        <v>8200</v>
      </c>
      <c r="Y55" s="115">
        <v>0</v>
      </c>
      <c r="Z55" s="115">
        <v>0</v>
      </c>
      <c r="AA55" s="115">
        <v>0</v>
      </c>
      <c r="AB55" s="115"/>
      <c r="AC55" s="58"/>
      <c r="AD55" s="58"/>
      <c r="AE55" s="58"/>
      <c r="AF55" s="58"/>
      <c r="AG55" s="58"/>
      <c r="AH55" s="47"/>
      <c r="AI55" s="53">
        <f>SUM(S55:AH55)</f>
        <v>578876</v>
      </c>
      <c r="AJ55" s="51"/>
      <c r="AK55" s="218">
        <f t="shared" si="3"/>
        <v>0</v>
      </c>
    </row>
    <row r="56" spans="1:38" s="36" customFormat="1" ht="15.75" x14ac:dyDescent="0.25">
      <c r="A56" s="93"/>
      <c r="B56" s="94"/>
      <c r="C56" s="91"/>
      <c r="D56" s="91"/>
      <c r="E56" s="94"/>
      <c r="F56" s="91"/>
      <c r="G56" s="91"/>
      <c r="H56" s="91"/>
      <c r="I56" s="91"/>
      <c r="J56" s="92"/>
      <c r="K56" s="91"/>
      <c r="L56" s="91"/>
      <c r="M56" s="91"/>
      <c r="N56" s="91"/>
      <c r="O56" s="92"/>
      <c r="P56" s="92"/>
      <c r="Q56" s="92"/>
      <c r="R56" s="59">
        <f t="shared" ref="R56:AG56" si="13">SUM(R54:R55)</f>
        <v>1796579</v>
      </c>
      <c r="S56" s="59">
        <f t="shared" si="13"/>
        <v>1774663</v>
      </c>
      <c r="T56" s="59">
        <f t="shared" si="13"/>
        <v>13716</v>
      </c>
      <c r="U56" s="59">
        <f t="shared" si="13"/>
        <v>0</v>
      </c>
      <c r="V56" s="59">
        <f t="shared" si="13"/>
        <v>0</v>
      </c>
      <c r="W56" s="59">
        <f t="shared" si="13"/>
        <v>0</v>
      </c>
      <c r="X56" s="59">
        <f t="shared" si="13"/>
        <v>8200</v>
      </c>
      <c r="Y56" s="59">
        <f t="shared" si="13"/>
        <v>0</v>
      </c>
      <c r="Z56" s="59">
        <f t="shared" si="13"/>
        <v>0</v>
      </c>
      <c r="AA56" s="59">
        <f t="shared" si="13"/>
        <v>0</v>
      </c>
      <c r="AB56" s="59">
        <f t="shared" si="13"/>
        <v>0</v>
      </c>
      <c r="AC56" s="59">
        <f t="shared" si="13"/>
        <v>0</v>
      </c>
      <c r="AD56" s="59">
        <f t="shared" si="13"/>
        <v>0</v>
      </c>
      <c r="AE56" s="59">
        <f t="shared" si="13"/>
        <v>0</v>
      </c>
      <c r="AF56" s="59">
        <f t="shared" si="13"/>
        <v>0</v>
      </c>
      <c r="AG56" s="59">
        <f t="shared" si="13"/>
        <v>0</v>
      </c>
      <c r="AH56" s="47"/>
      <c r="AI56" s="53">
        <f>SUM(S56:AH56)</f>
        <v>1796579</v>
      </c>
      <c r="AJ56" s="51"/>
      <c r="AK56" s="218">
        <f t="shared" si="3"/>
        <v>0</v>
      </c>
    </row>
    <row r="57" spans="1:38" s="36" customFormat="1" ht="15.75" x14ac:dyDescent="0.25">
      <c r="A57" s="106" t="s">
        <v>52</v>
      </c>
      <c r="B57" s="107"/>
      <c r="C57" s="101" t="s">
        <v>373</v>
      </c>
      <c r="D57" s="102"/>
      <c r="E57" s="107"/>
      <c r="F57" s="102"/>
      <c r="G57" s="102"/>
      <c r="H57" s="276"/>
      <c r="I57" s="276"/>
      <c r="J57" s="84"/>
      <c r="K57" s="102"/>
      <c r="L57" s="102"/>
      <c r="M57" s="102"/>
      <c r="N57" s="102"/>
      <c r="O57" s="84"/>
      <c r="P57" s="84"/>
      <c r="Q57" s="84"/>
      <c r="R57" s="193"/>
      <c r="S57" s="85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47"/>
      <c r="AI57" s="85"/>
      <c r="AJ57" s="51"/>
      <c r="AK57" s="218">
        <f t="shared" si="3"/>
        <v>0</v>
      </c>
    </row>
    <row r="58" spans="1:38" s="36" customFormat="1" ht="15.75" x14ac:dyDescent="0.25">
      <c r="A58" s="316" t="s">
        <v>49</v>
      </c>
      <c r="B58" s="317" t="s">
        <v>374</v>
      </c>
      <c r="C58" s="310" t="s">
        <v>373</v>
      </c>
      <c r="D58" s="310" t="s">
        <v>630</v>
      </c>
      <c r="E58" s="317" t="s">
        <v>51</v>
      </c>
      <c r="F58" s="310" t="s">
        <v>237</v>
      </c>
      <c r="G58" s="310"/>
      <c r="H58" s="318">
        <v>43965</v>
      </c>
      <c r="I58" s="318">
        <v>44020</v>
      </c>
      <c r="J58" s="331">
        <f>I58-H58</f>
        <v>55</v>
      </c>
      <c r="K58" s="310" t="s">
        <v>370</v>
      </c>
      <c r="L58" s="318">
        <v>44033</v>
      </c>
      <c r="M58" s="318">
        <v>44371</v>
      </c>
      <c r="N58" s="318"/>
      <c r="O58" s="311">
        <f>((M58-L58)/7)/4.3</f>
        <v>11.22923588039867</v>
      </c>
      <c r="P58" s="311"/>
      <c r="Q58" s="311"/>
      <c r="R58" s="306">
        <v>9534114</v>
      </c>
      <c r="S58" s="115">
        <v>4251267</v>
      </c>
      <c r="T58" s="115">
        <v>974630</v>
      </c>
      <c r="U58" s="115">
        <v>965506</v>
      </c>
      <c r="V58" s="115">
        <v>726926</v>
      </c>
      <c r="W58" s="115">
        <v>1007479</v>
      </c>
      <c r="X58" s="115">
        <v>748387</v>
      </c>
      <c r="Y58" s="115">
        <v>599421</v>
      </c>
      <c r="Z58" s="115">
        <v>93601</v>
      </c>
      <c r="AA58" s="115">
        <v>88474</v>
      </c>
      <c r="AB58" s="115">
        <v>65327.47</v>
      </c>
      <c r="AC58" s="275">
        <v>36897</v>
      </c>
      <c r="AD58" s="53"/>
      <c r="AE58" s="53"/>
      <c r="AF58" s="53"/>
      <c r="AG58" s="53"/>
      <c r="AH58" s="47"/>
      <c r="AI58" s="53">
        <f t="shared" ref="AI58:AI63" si="14">SUM(S58:AH58)</f>
        <v>9557915.4700000007</v>
      </c>
      <c r="AJ58" s="51"/>
      <c r="AK58" s="218">
        <f t="shared" si="3"/>
        <v>23801.470000000671</v>
      </c>
      <c r="AL58" s="36" t="s">
        <v>657</v>
      </c>
    </row>
    <row r="59" spans="1:38" s="36" customFormat="1" ht="15.75" x14ac:dyDescent="0.25">
      <c r="A59" s="312" t="s">
        <v>55</v>
      </c>
      <c r="B59" s="313" t="s">
        <v>376</v>
      </c>
      <c r="C59" s="310" t="s">
        <v>373</v>
      </c>
      <c r="D59" s="310" t="s">
        <v>401</v>
      </c>
      <c r="E59" s="313" t="s">
        <v>57</v>
      </c>
      <c r="F59" s="310" t="s">
        <v>237</v>
      </c>
      <c r="G59" s="310"/>
      <c r="H59" s="318">
        <v>43998</v>
      </c>
      <c r="I59" s="318">
        <v>44005</v>
      </c>
      <c r="J59" s="331">
        <f>I59-H59</f>
        <v>7</v>
      </c>
      <c r="K59" s="310" t="s">
        <v>370</v>
      </c>
      <c r="L59" s="318">
        <v>44124</v>
      </c>
      <c r="M59" s="318">
        <v>44392</v>
      </c>
      <c r="N59" s="318"/>
      <c r="O59" s="311">
        <f>((M59-L59)/7)/4.3</f>
        <v>8.9036544850498345</v>
      </c>
      <c r="P59" s="311"/>
      <c r="Q59" s="311"/>
      <c r="R59" s="306">
        <v>1258636</v>
      </c>
      <c r="S59" s="115">
        <v>501155</v>
      </c>
      <c r="T59" s="115">
        <v>186495</v>
      </c>
      <c r="U59" s="115">
        <v>202246</v>
      </c>
      <c r="V59" s="115">
        <v>66602</v>
      </c>
      <c r="W59" s="115">
        <v>48430</v>
      </c>
      <c r="X59" s="115">
        <v>7649</v>
      </c>
      <c r="Y59" s="115">
        <v>118643</v>
      </c>
      <c r="Z59" s="115">
        <v>54525</v>
      </c>
      <c r="AA59" s="115">
        <v>32612</v>
      </c>
      <c r="AB59" s="115">
        <v>0</v>
      </c>
      <c r="AC59" s="53"/>
      <c r="AD59" s="53"/>
      <c r="AE59" s="53"/>
      <c r="AF59" s="53"/>
      <c r="AG59" s="53"/>
      <c r="AH59" s="47"/>
      <c r="AI59" s="53">
        <f t="shared" si="14"/>
        <v>1218357</v>
      </c>
      <c r="AJ59" s="51"/>
      <c r="AK59" s="218">
        <f t="shared" si="3"/>
        <v>-40279</v>
      </c>
      <c r="AL59" s="36" t="s">
        <v>658</v>
      </c>
    </row>
    <row r="60" spans="1:38" s="36" customFormat="1" ht="15.75" x14ac:dyDescent="0.25">
      <c r="A60" s="113" t="s">
        <v>594</v>
      </c>
      <c r="B60" s="114" t="s">
        <v>595</v>
      </c>
      <c r="C60" s="52" t="s">
        <v>373</v>
      </c>
      <c r="D60" s="52" t="s">
        <v>45</v>
      </c>
      <c r="E60" s="35"/>
      <c r="F60" s="52" t="s">
        <v>623</v>
      </c>
      <c r="G60" s="52"/>
      <c r="H60" s="330" t="s">
        <v>24</v>
      </c>
      <c r="I60" s="330" t="s">
        <v>24</v>
      </c>
      <c r="J60" s="333" t="s">
        <v>24</v>
      </c>
      <c r="K60" s="52" t="s">
        <v>320</v>
      </c>
      <c r="L60" s="52"/>
      <c r="M60" s="52"/>
      <c r="N60" s="52"/>
      <c r="O60" s="50">
        <f>((M60-L60)/7)/4.3</f>
        <v>0</v>
      </c>
      <c r="P60" s="50"/>
      <c r="Q60" s="50"/>
      <c r="R60" s="53">
        <v>82107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275">
        <v>30000</v>
      </c>
      <c r="AD60" s="275">
        <v>27107</v>
      </c>
      <c r="AE60" s="53"/>
      <c r="AF60" s="53"/>
      <c r="AG60" s="53"/>
      <c r="AH60" s="47"/>
      <c r="AI60" s="53">
        <f t="shared" si="14"/>
        <v>57107</v>
      </c>
      <c r="AJ60" s="51"/>
      <c r="AK60" s="218">
        <f>AI60-R60</f>
        <v>-25000</v>
      </c>
    </row>
    <row r="61" spans="1:38" s="36" customFormat="1" ht="15.75" x14ac:dyDescent="0.25">
      <c r="A61" s="104" t="s">
        <v>129</v>
      </c>
      <c r="B61" s="105" t="s">
        <v>130</v>
      </c>
      <c r="C61" s="52" t="s">
        <v>373</v>
      </c>
      <c r="D61" s="52" t="s">
        <v>633</v>
      </c>
      <c r="E61" s="65" t="s">
        <v>131</v>
      </c>
      <c r="F61" s="52" t="s">
        <v>46</v>
      </c>
      <c r="G61" s="52"/>
      <c r="H61" s="330">
        <v>43962</v>
      </c>
      <c r="I61" s="330">
        <v>44018</v>
      </c>
      <c r="J61" s="333">
        <f>I61-H61</f>
        <v>56</v>
      </c>
      <c r="K61" s="52" t="s">
        <v>370</v>
      </c>
      <c r="L61" s="330">
        <v>44136</v>
      </c>
      <c r="M61" s="347">
        <v>44531</v>
      </c>
      <c r="N61" s="52"/>
      <c r="O61" s="50">
        <f>((M61-L61)/7)/4.3</f>
        <v>13.122923588039868</v>
      </c>
      <c r="P61" s="50"/>
      <c r="Q61" s="50"/>
      <c r="R61" s="182">
        <v>1809504</v>
      </c>
      <c r="S61" s="115">
        <v>407476</v>
      </c>
      <c r="T61" s="115">
        <v>214131</v>
      </c>
      <c r="U61" s="115">
        <v>74131</v>
      </c>
      <c r="V61" s="115">
        <v>135778</v>
      </c>
      <c r="W61" s="115">
        <v>437832</v>
      </c>
      <c r="X61" s="115">
        <v>31174</v>
      </c>
      <c r="Y61" s="115">
        <v>82243</v>
      </c>
      <c r="Z61" s="115">
        <v>45087</v>
      </c>
      <c r="AA61" s="115">
        <v>149925</v>
      </c>
      <c r="AB61" s="115">
        <v>55587.040000000001</v>
      </c>
      <c r="AC61" s="275">
        <v>100000</v>
      </c>
      <c r="AD61" s="275">
        <v>31727</v>
      </c>
      <c r="AE61" s="53"/>
      <c r="AF61" s="53"/>
      <c r="AG61" s="53"/>
      <c r="AH61" s="47"/>
      <c r="AI61" s="53">
        <f t="shared" si="14"/>
        <v>1765091.04</v>
      </c>
      <c r="AJ61" s="51"/>
      <c r="AK61" s="218">
        <f t="shared" si="3"/>
        <v>-44412.959999999963</v>
      </c>
    </row>
    <row r="62" spans="1:38" s="36" customFormat="1" ht="15.75" x14ac:dyDescent="0.25">
      <c r="A62" s="104" t="s">
        <v>139</v>
      </c>
      <c r="B62" s="105" t="s">
        <v>140</v>
      </c>
      <c r="C62" s="52" t="s">
        <v>373</v>
      </c>
      <c r="D62" s="87" t="s">
        <v>564</v>
      </c>
      <c r="E62" s="65" t="s">
        <v>141</v>
      </c>
      <c r="F62" s="87" t="s">
        <v>46</v>
      </c>
      <c r="G62" s="87"/>
      <c r="H62" s="329">
        <v>44104</v>
      </c>
      <c r="I62" s="329">
        <v>44194</v>
      </c>
      <c r="J62" s="333">
        <f>I62-H62</f>
        <v>90</v>
      </c>
      <c r="K62" s="52" t="s">
        <v>370</v>
      </c>
      <c r="L62" s="330">
        <v>44224</v>
      </c>
      <c r="M62" s="347">
        <v>44501</v>
      </c>
      <c r="N62" s="52"/>
      <c r="O62" s="50">
        <f>((M62-L62)/7)/4.3</f>
        <v>9.2026578073089702</v>
      </c>
      <c r="P62" s="50"/>
      <c r="Q62" s="50"/>
      <c r="R62" s="182">
        <v>1641198</v>
      </c>
      <c r="S62" s="115">
        <v>103605</v>
      </c>
      <c r="T62" s="115">
        <v>0</v>
      </c>
      <c r="U62" s="115">
        <v>71204</v>
      </c>
      <c r="V62" s="115">
        <v>158532</v>
      </c>
      <c r="W62" s="115">
        <v>124183</v>
      </c>
      <c r="X62" s="115">
        <f>236910+83209</f>
        <v>320119</v>
      </c>
      <c r="Y62" s="115">
        <v>192377</v>
      </c>
      <c r="Z62" s="115">
        <v>74223</v>
      </c>
      <c r="AA62" s="115">
        <v>357461</v>
      </c>
      <c r="AB62" s="115">
        <v>34466.449999999997</v>
      </c>
      <c r="AC62" s="275">
        <v>75000</v>
      </c>
      <c r="AD62" s="275">
        <v>14494</v>
      </c>
      <c r="AE62" s="53"/>
      <c r="AF62" s="53"/>
      <c r="AG62" s="53"/>
      <c r="AH62" s="47"/>
      <c r="AI62" s="53">
        <f t="shared" si="14"/>
        <v>1525664.45</v>
      </c>
      <c r="AJ62" s="51"/>
      <c r="AK62" s="218">
        <f t="shared" si="3"/>
        <v>-115533.55000000005</v>
      </c>
    </row>
    <row r="63" spans="1:38" s="36" customFormat="1" ht="15.75" x14ac:dyDescent="0.25">
      <c r="A63" s="93"/>
      <c r="B63" s="94"/>
      <c r="C63" s="91"/>
      <c r="D63" s="91"/>
      <c r="E63" s="94"/>
      <c r="F63" s="91"/>
      <c r="G63" s="91"/>
      <c r="H63" s="91"/>
      <c r="I63" s="91"/>
      <c r="J63" s="92"/>
      <c r="K63" s="91"/>
      <c r="L63" s="91"/>
      <c r="M63" s="91"/>
      <c r="N63" s="91"/>
      <c r="O63" s="92"/>
      <c r="P63" s="92"/>
      <c r="Q63" s="92"/>
      <c r="R63" s="243">
        <f t="shared" ref="R63:AG63" si="15">SUM(R58:R62)</f>
        <v>14325559</v>
      </c>
      <c r="S63" s="59">
        <f t="shared" si="15"/>
        <v>5263503</v>
      </c>
      <c r="T63" s="59">
        <f t="shared" si="15"/>
        <v>1375256</v>
      </c>
      <c r="U63" s="59">
        <f t="shared" si="15"/>
        <v>1313087</v>
      </c>
      <c r="V63" s="59">
        <f t="shared" si="15"/>
        <v>1087838</v>
      </c>
      <c r="W63" s="59">
        <f t="shared" si="15"/>
        <v>1617924</v>
      </c>
      <c r="X63" s="59">
        <f t="shared" si="15"/>
        <v>1107329</v>
      </c>
      <c r="Y63" s="59">
        <f t="shared" si="15"/>
        <v>992684</v>
      </c>
      <c r="Z63" s="59">
        <f t="shared" si="15"/>
        <v>267436</v>
      </c>
      <c r="AA63" s="59">
        <f t="shared" si="15"/>
        <v>628472</v>
      </c>
      <c r="AB63" s="59">
        <f t="shared" si="15"/>
        <v>155380.96000000002</v>
      </c>
      <c r="AC63" s="59">
        <f t="shared" si="15"/>
        <v>241897</v>
      </c>
      <c r="AD63" s="59">
        <f t="shared" si="15"/>
        <v>73328</v>
      </c>
      <c r="AE63" s="59">
        <f t="shared" si="15"/>
        <v>0</v>
      </c>
      <c r="AF63" s="59">
        <f t="shared" si="15"/>
        <v>0</v>
      </c>
      <c r="AG63" s="59">
        <f t="shared" si="15"/>
        <v>0</v>
      </c>
      <c r="AH63" s="47"/>
      <c r="AI63" s="53">
        <f t="shared" si="14"/>
        <v>14124134.960000001</v>
      </c>
      <c r="AJ63" s="51"/>
      <c r="AK63" s="218">
        <f t="shared" si="3"/>
        <v>-201424.03999999911</v>
      </c>
    </row>
    <row r="64" spans="1:38" s="36" customFormat="1" ht="15.75" x14ac:dyDescent="0.25">
      <c r="A64" s="106" t="s">
        <v>571</v>
      </c>
      <c r="B64" s="107"/>
      <c r="C64" s="101" t="s">
        <v>563</v>
      </c>
      <c r="D64" s="102"/>
      <c r="E64" s="107"/>
      <c r="F64" s="102"/>
      <c r="G64" s="102"/>
      <c r="H64" s="276"/>
      <c r="I64" s="276"/>
      <c r="J64" s="84"/>
      <c r="K64" s="102"/>
      <c r="L64" s="102"/>
      <c r="M64" s="102"/>
      <c r="N64" s="102"/>
      <c r="O64" s="84"/>
      <c r="P64" s="84"/>
      <c r="Q64" s="84"/>
      <c r="R64" s="193"/>
      <c r="S64" s="85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47"/>
      <c r="AI64" s="85"/>
      <c r="AJ64" s="51"/>
      <c r="AK64" s="218">
        <f t="shared" si="3"/>
        <v>0</v>
      </c>
    </row>
    <row r="65" spans="1:37" s="36" customFormat="1" ht="15.75" x14ac:dyDescent="0.25">
      <c r="A65" s="34" t="s">
        <v>60</v>
      </c>
      <c r="B65" s="35" t="s">
        <v>377</v>
      </c>
      <c r="C65" s="52" t="s">
        <v>563</v>
      </c>
      <c r="D65" s="52" t="s">
        <v>631</v>
      </c>
      <c r="E65" s="35" t="s">
        <v>62</v>
      </c>
      <c r="F65" s="52" t="s">
        <v>46</v>
      </c>
      <c r="G65" s="52"/>
      <c r="H65" s="330">
        <v>44054</v>
      </c>
      <c r="I65" s="330">
        <v>44147</v>
      </c>
      <c r="J65" s="333">
        <f>I65-H65</f>
        <v>93</v>
      </c>
      <c r="K65" s="52" t="s">
        <v>370</v>
      </c>
      <c r="L65" s="329">
        <v>44119</v>
      </c>
      <c r="M65" s="87">
        <v>44531</v>
      </c>
      <c r="N65" s="87"/>
      <c r="O65" s="88">
        <f>((M65-L65)/7)/4.3</f>
        <v>13.687707641196013</v>
      </c>
      <c r="P65" s="88"/>
      <c r="Q65" s="88"/>
      <c r="R65" s="181">
        <v>13107911</v>
      </c>
      <c r="S65" s="115">
        <v>802663</v>
      </c>
      <c r="T65" s="115">
        <v>1051823</v>
      </c>
      <c r="U65" s="115">
        <v>822272</v>
      </c>
      <c r="V65" s="115">
        <v>1170091</v>
      </c>
      <c r="W65" s="115">
        <v>1068761</v>
      </c>
      <c r="X65" s="115">
        <v>823660</v>
      </c>
      <c r="Y65" s="115">
        <v>1536928</v>
      </c>
      <c r="Z65" s="115">
        <v>1558003</v>
      </c>
      <c r="AA65" s="115">
        <v>1521211</v>
      </c>
      <c r="AB65" s="115">
        <v>1384616.45</v>
      </c>
      <c r="AC65" s="275">
        <v>950000</v>
      </c>
      <c r="AD65" s="275">
        <v>800000</v>
      </c>
      <c r="AE65" s="275">
        <v>52499</v>
      </c>
      <c r="AF65" s="58"/>
      <c r="AG65" s="53"/>
      <c r="AH65" s="47"/>
      <c r="AI65" s="53">
        <f>SUM(S65:AH65)</f>
        <v>13542527.449999999</v>
      </c>
      <c r="AJ65" s="51"/>
      <c r="AK65" s="218">
        <f t="shared" si="3"/>
        <v>434616.44999999925</v>
      </c>
    </row>
    <row r="66" spans="1:37" s="36" customFormat="1" ht="15.75" x14ac:dyDescent="0.25">
      <c r="A66" s="93"/>
      <c r="B66" s="94"/>
      <c r="C66" s="91"/>
      <c r="D66" s="91"/>
      <c r="E66" s="94"/>
      <c r="F66" s="91"/>
      <c r="G66" s="91"/>
      <c r="H66" s="91"/>
      <c r="I66" s="91"/>
      <c r="J66" s="92"/>
      <c r="K66" s="91"/>
      <c r="L66" s="91"/>
      <c r="M66" s="91"/>
      <c r="N66" s="91"/>
      <c r="O66" s="92"/>
      <c r="P66" s="92"/>
      <c r="Q66" s="92"/>
      <c r="R66" s="59">
        <f t="shared" ref="R66:AG66" si="16">SUM(R65)</f>
        <v>13107911</v>
      </c>
      <c r="S66" s="59">
        <f t="shared" si="16"/>
        <v>802663</v>
      </c>
      <c r="T66" s="59">
        <f t="shared" si="16"/>
        <v>1051823</v>
      </c>
      <c r="U66" s="59">
        <f t="shared" si="16"/>
        <v>822272</v>
      </c>
      <c r="V66" s="59">
        <f t="shared" si="16"/>
        <v>1170091</v>
      </c>
      <c r="W66" s="59">
        <f t="shared" si="16"/>
        <v>1068761</v>
      </c>
      <c r="X66" s="59">
        <f t="shared" si="16"/>
        <v>823660</v>
      </c>
      <c r="Y66" s="59">
        <f t="shared" si="16"/>
        <v>1536928</v>
      </c>
      <c r="Z66" s="59">
        <f t="shared" si="16"/>
        <v>1558003</v>
      </c>
      <c r="AA66" s="59">
        <f t="shared" si="16"/>
        <v>1521211</v>
      </c>
      <c r="AB66" s="59">
        <f t="shared" si="16"/>
        <v>1384616.45</v>
      </c>
      <c r="AC66" s="59">
        <f t="shared" si="16"/>
        <v>950000</v>
      </c>
      <c r="AD66" s="59">
        <f t="shared" si="16"/>
        <v>800000</v>
      </c>
      <c r="AE66" s="59">
        <f t="shared" si="16"/>
        <v>52499</v>
      </c>
      <c r="AF66" s="59">
        <f t="shared" si="16"/>
        <v>0</v>
      </c>
      <c r="AG66" s="59">
        <f t="shared" si="16"/>
        <v>0</v>
      </c>
      <c r="AH66" s="47"/>
      <c r="AI66" s="53">
        <f>SUM(S66:AH66)</f>
        <v>13542527.449999999</v>
      </c>
      <c r="AJ66" s="51"/>
      <c r="AK66" s="218">
        <f t="shared" si="3"/>
        <v>434616.44999999925</v>
      </c>
    </row>
    <row r="67" spans="1:37" s="36" customFormat="1" ht="15.75" x14ac:dyDescent="0.25">
      <c r="A67" s="106" t="s">
        <v>517</v>
      </c>
      <c r="B67" s="107"/>
      <c r="C67" s="101" t="s">
        <v>563</v>
      </c>
      <c r="D67" s="102"/>
      <c r="E67" s="107"/>
      <c r="F67" s="102"/>
      <c r="G67" s="102"/>
      <c r="H67" s="276"/>
      <c r="I67" s="276"/>
      <c r="J67" s="84"/>
      <c r="K67" s="102"/>
      <c r="L67" s="102"/>
      <c r="M67" s="102"/>
      <c r="N67" s="102"/>
      <c r="O67" s="84"/>
      <c r="P67" s="84"/>
      <c r="Q67" s="84"/>
      <c r="R67" s="193"/>
      <c r="S67" s="85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47"/>
      <c r="AI67" s="85"/>
      <c r="AJ67" s="51"/>
      <c r="AK67" s="55">
        <f t="shared" si="3"/>
        <v>0</v>
      </c>
    </row>
    <row r="68" spans="1:37" s="36" customFormat="1" ht="15.75" x14ac:dyDescent="0.25">
      <c r="A68" s="312" t="s">
        <v>634</v>
      </c>
      <c r="B68" s="312" t="s">
        <v>576</v>
      </c>
      <c r="C68" s="310" t="s">
        <v>563</v>
      </c>
      <c r="D68" s="310" t="s">
        <v>708</v>
      </c>
      <c r="E68" s="312" t="s">
        <v>685</v>
      </c>
      <c r="F68" s="310" t="s">
        <v>237</v>
      </c>
      <c r="G68" s="310"/>
      <c r="H68" s="318" t="s">
        <v>24</v>
      </c>
      <c r="I68" s="318" t="s">
        <v>24</v>
      </c>
      <c r="J68" s="318" t="s">
        <v>24</v>
      </c>
      <c r="K68" s="318" t="s">
        <v>24</v>
      </c>
      <c r="L68" s="318">
        <v>44382</v>
      </c>
      <c r="M68" s="318">
        <v>44428</v>
      </c>
      <c r="N68" s="318"/>
      <c r="O68" s="311">
        <f t="shared" ref="O68:O80" si="17">((M68-L68)/7)/4.3</f>
        <v>1.5282392026578073</v>
      </c>
      <c r="P68" s="311"/>
      <c r="Q68" s="311"/>
      <c r="R68" s="306">
        <v>89125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28797</v>
      </c>
      <c r="AB68" s="115">
        <v>8473.4</v>
      </c>
      <c r="AC68" s="53"/>
      <c r="AD68" s="53"/>
      <c r="AE68" s="53"/>
      <c r="AF68" s="275">
        <v>60328</v>
      </c>
      <c r="AG68" s="53"/>
      <c r="AH68" s="47"/>
      <c r="AI68" s="53">
        <f t="shared" ref="AI68:AI84" si="18">SUM(S68:AH68)</f>
        <v>97598.399999999994</v>
      </c>
      <c r="AJ68" s="51"/>
      <c r="AK68" s="55">
        <f t="shared" ref="AK68:AK131" si="19">AI68-R68</f>
        <v>8473.3999999999942</v>
      </c>
    </row>
    <row r="69" spans="1:37" s="36" customFormat="1" ht="15.75" x14ac:dyDescent="0.25">
      <c r="A69" s="312" t="s">
        <v>635</v>
      </c>
      <c r="B69" s="312" t="s">
        <v>577</v>
      </c>
      <c r="C69" s="310" t="s">
        <v>563</v>
      </c>
      <c r="D69" s="310" t="s">
        <v>708</v>
      </c>
      <c r="E69" s="312" t="s">
        <v>686</v>
      </c>
      <c r="F69" s="310" t="s">
        <v>237</v>
      </c>
      <c r="G69" s="310"/>
      <c r="H69" s="318" t="s">
        <v>24</v>
      </c>
      <c r="I69" s="318" t="s">
        <v>24</v>
      </c>
      <c r="J69" s="318" t="s">
        <v>24</v>
      </c>
      <c r="K69" s="318" t="s">
        <v>24</v>
      </c>
      <c r="L69" s="318">
        <v>44382</v>
      </c>
      <c r="M69" s="318">
        <v>44428</v>
      </c>
      <c r="N69" s="318"/>
      <c r="O69" s="311">
        <f t="shared" si="17"/>
        <v>1.5282392026578073</v>
      </c>
      <c r="P69" s="311"/>
      <c r="Q69" s="311"/>
      <c r="R69" s="306">
        <v>75650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24902</v>
      </c>
      <c r="AB69" s="115">
        <v>5295.49</v>
      </c>
      <c r="AC69" s="53"/>
      <c r="AD69" s="53"/>
      <c r="AE69" s="53"/>
      <c r="AF69" s="275">
        <v>50748</v>
      </c>
      <c r="AG69" s="53"/>
      <c r="AH69" s="47"/>
      <c r="AI69" s="53">
        <f t="shared" si="18"/>
        <v>80945.489999999991</v>
      </c>
      <c r="AJ69" s="51"/>
      <c r="AK69" s="55">
        <f t="shared" si="19"/>
        <v>5295.4899999999907</v>
      </c>
    </row>
    <row r="70" spans="1:37" s="36" customFormat="1" ht="15.75" x14ac:dyDescent="0.25">
      <c r="A70" s="312" t="s">
        <v>215</v>
      </c>
      <c r="B70" s="313" t="s">
        <v>674</v>
      </c>
      <c r="C70" s="310" t="s">
        <v>563</v>
      </c>
      <c r="D70" s="310" t="s">
        <v>708</v>
      </c>
      <c r="E70" s="313" t="s">
        <v>636</v>
      </c>
      <c r="F70" s="310" t="s">
        <v>237</v>
      </c>
      <c r="G70" s="310"/>
      <c r="H70" s="318">
        <v>44299</v>
      </c>
      <c r="I70" s="318">
        <v>44313</v>
      </c>
      <c r="J70" s="331">
        <f>I70-H70</f>
        <v>14</v>
      </c>
      <c r="K70" s="310" t="s">
        <v>370</v>
      </c>
      <c r="L70" s="318">
        <v>44333</v>
      </c>
      <c r="M70" s="318">
        <v>44356</v>
      </c>
      <c r="N70" s="310"/>
      <c r="O70" s="311">
        <f t="shared" si="17"/>
        <v>0.76411960132890366</v>
      </c>
      <c r="P70" s="311"/>
      <c r="Q70" s="311"/>
      <c r="R70" s="306">
        <v>67027</v>
      </c>
      <c r="S70" s="115">
        <v>0</v>
      </c>
      <c r="T70" s="115">
        <v>0</v>
      </c>
      <c r="U70" s="115">
        <v>0</v>
      </c>
      <c r="V70" s="115">
        <v>0</v>
      </c>
      <c r="W70" s="115">
        <v>0</v>
      </c>
      <c r="X70" s="115">
        <v>0</v>
      </c>
      <c r="Y70" s="115">
        <v>67027</v>
      </c>
      <c r="Z70" s="115">
        <v>0</v>
      </c>
      <c r="AA70" s="115">
        <v>0</v>
      </c>
      <c r="AB70" s="115">
        <v>0</v>
      </c>
      <c r="AC70" s="53"/>
      <c r="AD70" s="53"/>
      <c r="AE70" s="53"/>
      <c r="AF70" s="53"/>
      <c r="AG70" s="53"/>
      <c r="AH70" s="47"/>
      <c r="AI70" s="53">
        <f t="shared" si="18"/>
        <v>67027</v>
      </c>
      <c r="AJ70" s="51"/>
      <c r="AK70" s="55">
        <f t="shared" si="19"/>
        <v>0</v>
      </c>
    </row>
    <row r="71" spans="1:37" s="36" customFormat="1" ht="15.75" x14ac:dyDescent="0.25">
      <c r="A71" s="60" t="s">
        <v>560</v>
      </c>
      <c r="B71" s="112" t="s">
        <v>637</v>
      </c>
      <c r="C71" s="52" t="s">
        <v>563</v>
      </c>
      <c r="D71" s="52" t="s">
        <v>708</v>
      </c>
      <c r="E71" s="61" t="s">
        <v>638</v>
      </c>
      <c r="F71" s="52" t="s">
        <v>46</v>
      </c>
      <c r="G71" s="52"/>
      <c r="H71" s="330">
        <v>44369</v>
      </c>
      <c r="I71" s="330">
        <v>44389</v>
      </c>
      <c r="J71" s="333">
        <f>I71-H71</f>
        <v>20</v>
      </c>
      <c r="K71" s="52" t="s">
        <v>370</v>
      </c>
      <c r="L71" s="330">
        <v>44382</v>
      </c>
      <c r="M71" s="329">
        <v>44470</v>
      </c>
      <c r="N71" s="52"/>
      <c r="O71" s="50">
        <f t="shared" si="17"/>
        <v>2.9235880398671097</v>
      </c>
      <c r="P71" s="50"/>
      <c r="Q71" s="50"/>
      <c r="R71" s="182">
        <v>38040</v>
      </c>
      <c r="S71" s="115"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38040</v>
      </c>
      <c r="AB71" s="115">
        <v>0</v>
      </c>
      <c r="AC71" s="58"/>
      <c r="AD71" s="58"/>
      <c r="AE71" s="58"/>
      <c r="AF71" s="58"/>
      <c r="AG71" s="53"/>
      <c r="AH71" s="47"/>
      <c r="AI71" s="53">
        <f t="shared" si="18"/>
        <v>38040</v>
      </c>
      <c r="AJ71" s="51"/>
      <c r="AK71" s="55">
        <f t="shared" si="19"/>
        <v>0</v>
      </c>
    </row>
    <row r="72" spans="1:37" s="36" customFormat="1" ht="15.75" x14ac:dyDescent="0.25">
      <c r="A72" s="316" t="s">
        <v>556</v>
      </c>
      <c r="B72" s="317" t="s">
        <v>672</v>
      </c>
      <c r="C72" s="310" t="s">
        <v>563</v>
      </c>
      <c r="D72" s="310" t="s">
        <v>708</v>
      </c>
      <c r="E72" s="317" t="s">
        <v>640</v>
      </c>
      <c r="F72" s="310" t="s">
        <v>237</v>
      </c>
      <c r="G72" s="310"/>
      <c r="H72" s="318">
        <v>44330</v>
      </c>
      <c r="I72" s="318">
        <v>44362</v>
      </c>
      <c r="J72" s="331">
        <f>I72-H72</f>
        <v>32</v>
      </c>
      <c r="K72" s="310" t="s">
        <v>370</v>
      </c>
      <c r="L72" s="318">
        <v>44368</v>
      </c>
      <c r="M72" s="318">
        <v>44425</v>
      </c>
      <c r="N72" s="318"/>
      <c r="O72" s="311">
        <f t="shared" si="17"/>
        <v>1.893687707641196</v>
      </c>
      <c r="P72" s="311"/>
      <c r="Q72" s="311"/>
      <c r="R72" s="306">
        <v>74344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74344</v>
      </c>
      <c r="AB72" s="115">
        <v>0</v>
      </c>
      <c r="AC72" s="58"/>
      <c r="AD72" s="58"/>
      <c r="AE72" s="58"/>
      <c r="AF72" s="58"/>
      <c r="AG72" s="53"/>
      <c r="AH72" s="47"/>
      <c r="AI72" s="53">
        <f t="shared" si="18"/>
        <v>74344</v>
      </c>
      <c r="AJ72" s="51"/>
      <c r="AK72" s="55">
        <f t="shared" si="19"/>
        <v>0</v>
      </c>
    </row>
    <row r="73" spans="1:37" s="36" customFormat="1" ht="15.75" x14ac:dyDescent="0.25">
      <c r="A73" s="316" t="s">
        <v>554</v>
      </c>
      <c r="B73" s="317" t="s">
        <v>673</v>
      </c>
      <c r="C73" s="310" t="s">
        <v>563</v>
      </c>
      <c r="D73" s="310" t="s">
        <v>708</v>
      </c>
      <c r="E73" s="317" t="s">
        <v>639</v>
      </c>
      <c r="F73" s="310" t="s">
        <v>237</v>
      </c>
      <c r="G73" s="310"/>
      <c r="H73" s="318" t="s">
        <v>24</v>
      </c>
      <c r="I73" s="318" t="s">
        <v>24</v>
      </c>
      <c r="J73" s="331" t="s">
        <v>24</v>
      </c>
      <c r="K73" s="318" t="s">
        <v>24</v>
      </c>
      <c r="L73" s="318">
        <v>44358</v>
      </c>
      <c r="M73" s="318">
        <v>44379</v>
      </c>
      <c r="N73" s="310"/>
      <c r="O73" s="311">
        <f t="shared" si="17"/>
        <v>0.69767441860465118</v>
      </c>
      <c r="P73" s="311"/>
      <c r="Q73" s="311"/>
      <c r="R73" s="306">
        <v>6336</v>
      </c>
      <c r="S73" s="115">
        <v>0</v>
      </c>
      <c r="T73" s="115">
        <v>0</v>
      </c>
      <c r="U73" s="115">
        <v>0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6336</v>
      </c>
      <c r="AB73" s="115">
        <v>0</v>
      </c>
      <c r="AC73" s="58"/>
      <c r="AD73" s="58"/>
      <c r="AE73" s="58"/>
      <c r="AF73" s="58"/>
      <c r="AG73" s="53"/>
      <c r="AH73" s="47"/>
      <c r="AI73" s="53">
        <f t="shared" si="18"/>
        <v>6336</v>
      </c>
      <c r="AJ73" s="51"/>
      <c r="AK73" s="55">
        <f t="shared" si="19"/>
        <v>0</v>
      </c>
    </row>
    <row r="74" spans="1:37" s="36" customFormat="1" ht="15.75" x14ac:dyDescent="0.25">
      <c r="A74" s="64" t="s">
        <v>150</v>
      </c>
      <c r="B74" s="324" t="s">
        <v>151</v>
      </c>
      <c r="C74" s="52" t="s">
        <v>563</v>
      </c>
      <c r="D74" s="52" t="s">
        <v>708</v>
      </c>
      <c r="E74" s="65" t="s">
        <v>709</v>
      </c>
      <c r="F74" s="52" t="s">
        <v>46</v>
      </c>
      <c r="G74" s="52"/>
      <c r="H74" s="330">
        <v>44369</v>
      </c>
      <c r="I74" s="347">
        <v>44477</v>
      </c>
      <c r="J74" s="50">
        <f>I74-H74</f>
        <v>108</v>
      </c>
      <c r="K74" s="52" t="s">
        <v>320</v>
      </c>
      <c r="L74" s="52">
        <f>I74+30</f>
        <v>44507</v>
      </c>
      <c r="M74" s="52">
        <v>44680</v>
      </c>
      <c r="N74" s="52"/>
      <c r="O74" s="50">
        <f t="shared" si="17"/>
        <v>5.7475083056478411</v>
      </c>
      <c r="P74" s="50"/>
      <c r="Q74" s="50"/>
      <c r="R74" s="182">
        <v>1910050</v>
      </c>
      <c r="S74" s="115">
        <v>0</v>
      </c>
      <c r="T74" s="115">
        <v>0</v>
      </c>
      <c r="U74" s="115">
        <v>0</v>
      </c>
      <c r="V74" s="115">
        <v>0</v>
      </c>
      <c r="W74" s="115">
        <v>0</v>
      </c>
      <c r="X74" s="115">
        <v>0</v>
      </c>
      <c r="Y74" s="115">
        <f>119451</f>
        <v>119451</v>
      </c>
      <c r="Z74" s="115">
        <v>0</v>
      </c>
      <c r="AA74" s="115">
        <v>139349</v>
      </c>
      <c r="AB74" s="115">
        <v>0</v>
      </c>
      <c r="AC74" s="275">
        <v>222000</v>
      </c>
      <c r="AD74" s="275">
        <v>175000</v>
      </c>
      <c r="AE74" s="275">
        <v>175000</v>
      </c>
      <c r="AF74" s="275">
        <v>922621</v>
      </c>
      <c r="AG74" s="58"/>
      <c r="AH74" s="47"/>
      <c r="AI74" s="53">
        <f t="shared" si="18"/>
        <v>1753421</v>
      </c>
      <c r="AJ74" s="51"/>
      <c r="AK74" s="55">
        <f t="shared" si="19"/>
        <v>-156629</v>
      </c>
    </row>
    <row r="75" spans="1:37" s="36" customFormat="1" ht="15.75" x14ac:dyDescent="0.25">
      <c r="A75" s="64" t="s">
        <v>153</v>
      </c>
      <c r="B75" s="324" t="s">
        <v>424</v>
      </c>
      <c r="C75" s="52" t="s">
        <v>563</v>
      </c>
      <c r="D75" s="52" t="s">
        <v>708</v>
      </c>
      <c r="E75" s="65" t="s">
        <v>710</v>
      </c>
      <c r="F75" s="52" t="s">
        <v>46</v>
      </c>
      <c r="G75" s="52"/>
      <c r="H75" s="347">
        <v>44484</v>
      </c>
      <c r="I75" s="52">
        <f>H75+30</f>
        <v>44514</v>
      </c>
      <c r="J75" s="50">
        <f>I75-H75</f>
        <v>30</v>
      </c>
      <c r="K75" s="52" t="s">
        <v>320</v>
      </c>
      <c r="L75" s="52">
        <f>I75+30</f>
        <v>44544</v>
      </c>
      <c r="M75" s="52">
        <v>44706</v>
      </c>
      <c r="N75" s="52"/>
      <c r="O75" s="50">
        <f t="shared" si="17"/>
        <v>5.382059800664452</v>
      </c>
      <c r="P75" s="50"/>
      <c r="Q75" s="50"/>
      <c r="R75" s="182">
        <v>288979</v>
      </c>
      <c r="S75" s="115">
        <v>0</v>
      </c>
      <c r="T75" s="115">
        <v>0</v>
      </c>
      <c r="U75" s="115">
        <v>0</v>
      </c>
      <c r="V75" s="115">
        <v>0</v>
      </c>
      <c r="W75" s="115">
        <v>0</v>
      </c>
      <c r="X75" s="115">
        <v>0</v>
      </c>
      <c r="Y75" s="115">
        <f>7826</f>
        <v>7826</v>
      </c>
      <c r="Z75" s="115">
        <v>0</v>
      </c>
      <c r="AA75" s="115">
        <v>9711</v>
      </c>
      <c r="AB75" s="115">
        <v>0</v>
      </c>
      <c r="AC75" s="275">
        <v>28000</v>
      </c>
      <c r="AD75" s="275">
        <v>34000</v>
      </c>
      <c r="AE75" s="275">
        <v>20000</v>
      </c>
      <c r="AF75" s="275">
        <v>182442</v>
      </c>
      <c r="AG75" s="53"/>
      <c r="AH75" s="47"/>
      <c r="AI75" s="53">
        <f t="shared" si="18"/>
        <v>281979</v>
      </c>
      <c r="AJ75" s="51"/>
      <c r="AK75" s="55">
        <f t="shared" si="19"/>
        <v>-7000</v>
      </c>
    </row>
    <row r="76" spans="1:37" s="36" customFormat="1" ht="15.75" x14ac:dyDescent="0.25">
      <c r="A76" s="64" t="s">
        <v>155</v>
      </c>
      <c r="B76" s="324" t="s">
        <v>426</v>
      </c>
      <c r="C76" s="52" t="s">
        <v>563</v>
      </c>
      <c r="D76" s="52" t="s">
        <v>708</v>
      </c>
      <c r="E76" s="65" t="s">
        <v>711</v>
      </c>
      <c r="F76" s="52" t="s">
        <v>46</v>
      </c>
      <c r="G76" s="52"/>
      <c r="H76" s="347">
        <v>44491</v>
      </c>
      <c r="I76" s="52">
        <f>H76+30</f>
        <v>44521</v>
      </c>
      <c r="J76" s="50">
        <f>I76-H76</f>
        <v>30</v>
      </c>
      <c r="K76" s="52" t="s">
        <v>320</v>
      </c>
      <c r="L76" s="52">
        <f>I76+30</f>
        <v>44551</v>
      </c>
      <c r="M76" s="52">
        <v>44706</v>
      </c>
      <c r="N76" s="52"/>
      <c r="O76" s="50">
        <f t="shared" si="17"/>
        <v>5.1495016611295679</v>
      </c>
      <c r="P76" s="50"/>
      <c r="Q76" s="50"/>
      <c r="R76" s="182">
        <v>366822</v>
      </c>
      <c r="S76" s="115">
        <v>0</v>
      </c>
      <c r="T76" s="115">
        <v>0</v>
      </c>
      <c r="U76" s="115">
        <v>0</v>
      </c>
      <c r="V76" s="115">
        <v>0</v>
      </c>
      <c r="W76" s="115">
        <v>0</v>
      </c>
      <c r="X76" s="115">
        <v>0</v>
      </c>
      <c r="Y76" s="115">
        <f>7716</f>
        <v>7716</v>
      </c>
      <c r="Z76" s="115">
        <v>0</v>
      </c>
      <c r="AA76" s="115">
        <v>12408</v>
      </c>
      <c r="AB76" s="115">
        <v>0</v>
      </c>
      <c r="AC76" s="275">
        <v>36000</v>
      </c>
      <c r="AD76" s="275">
        <v>44000</v>
      </c>
      <c r="AE76" s="275">
        <v>26000</v>
      </c>
      <c r="AF76" s="275">
        <v>232698</v>
      </c>
      <c r="AG76" s="53"/>
      <c r="AH76" s="47"/>
      <c r="AI76" s="53">
        <f t="shared" si="18"/>
        <v>358822</v>
      </c>
      <c r="AJ76" s="51"/>
      <c r="AK76" s="55">
        <f t="shared" si="19"/>
        <v>-8000</v>
      </c>
    </row>
    <row r="77" spans="1:37" s="36" customFormat="1" ht="15.75" x14ac:dyDescent="0.25">
      <c r="A77" s="316" t="s">
        <v>113</v>
      </c>
      <c r="B77" s="317" t="s">
        <v>114</v>
      </c>
      <c r="C77" s="310" t="s">
        <v>563</v>
      </c>
      <c r="D77" s="310" t="s">
        <v>708</v>
      </c>
      <c r="E77" s="317" t="s">
        <v>687</v>
      </c>
      <c r="F77" s="310" t="s">
        <v>237</v>
      </c>
      <c r="G77" s="310"/>
      <c r="H77" s="318" t="s">
        <v>24</v>
      </c>
      <c r="I77" s="318" t="s">
        <v>24</v>
      </c>
      <c r="J77" s="331" t="s">
        <v>24</v>
      </c>
      <c r="K77" s="310" t="s">
        <v>370</v>
      </c>
      <c r="L77" s="318">
        <v>44256</v>
      </c>
      <c r="M77" s="318">
        <v>44347</v>
      </c>
      <c r="N77" s="318"/>
      <c r="O77" s="311">
        <f t="shared" si="17"/>
        <v>3.0232558139534884</v>
      </c>
      <c r="P77" s="311"/>
      <c r="Q77" s="311"/>
      <c r="R77" s="306">
        <v>52095</v>
      </c>
      <c r="S77" s="115">
        <v>0</v>
      </c>
      <c r="T77" s="115">
        <v>0</v>
      </c>
      <c r="U77" s="115">
        <v>0</v>
      </c>
      <c r="V77" s="115">
        <v>0</v>
      </c>
      <c r="W77" s="115">
        <v>0</v>
      </c>
      <c r="X77" s="115">
        <v>0</v>
      </c>
      <c r="Y77" s="115">
        <v>52095</v>
      </c>
      <c r="Z77" s="115">
        <v>0</v>
      </c>
      <c r="AA77" s="115">
        <v>0</v>
      </c>
      <c r="AB77" s="115">
        <v>0</v>
      </c>
      <c r="AC77" s="53"/>
      <c r="AD77" s="53"/>
      <c r="AE77" s="53"/>
      <c r="AF77" s="53"/>
      <c r="AG77" s="53"/>
      <c r="AH77" s="47"/>
      <c r="AI77" s="53">
        <f t="shared" si="18"/>
        <v>52095</v>
      </c>
      <c r="AJ77" s="51"/>
      <c r="AK77" s="55">
        <f t="shared" si="19"/>
        <v>0</v>
      </c>
    </row>
    <row r="78" spans="1:37" s="36" customFormat="1" ht="15.75" x14ac:dyDescent="0.25">
      <c r="A78" s="312" t="s">
        <v>199</v>
      </c>
      <c r="B78" s="312" t="s">
        <v>675</v>
      </c>
      <c r="C78" s="310" t="s">
        <v>563</v>
      </c>
      <c r="D78" s="310" t="s">
        <v>708</v>
      </c>
      <c r="E78" s="312" t="s">
        <v>688</v>
      </c>
      <c r="F78" s="310" t="s">
        <v>237</v>
      </c>
      <c r="G78" s="310"/>
      <c r="H78" s="318">
        <v>44277</v>
      </c>
      <c r="I78" s="318">
        <v>44302</v>
      </c>
      <c r="J78" s="331">
        <f t="shared" ref="J78:J83" si="20">I78-H78</f>
        <v>25</v>
      </c>
      <c r="K78" s="310" t="s">
        <v>370</v>
      </c>
      <c r="L78" s="318">
        <v>44340</v>
      </c>
      <c r="M78" s="318">
        <v>44419</v>
      </c>
      <c r="N78" s="318"/>
      <c r="O78" s="311">
        <f t="shared" si="17"/>
        <v>2.6245847176079735</v>
      </c>
      <c r="P78" s="311"/>
      <c r="Q78" s="311"/>
      <c r="R78" s="306">
        <v>156692</v>
      </c>
      <c r="S78" s="115">
        <v>0</v>
      </c>
      <c r="T78" s="115">
        <v>0</v>
      </c>
      <c r="U78" s="115">
        <v>0</v>
      </c>
      <c r="V78" s="115">
        <v>0</v>
      </c>
      <c r="W78" s="115">
        <v>0</v>
      </c>
      <c r="X78" s="115">
        <v>0</v>
      </c>
      <c r="Y78" s="115">
        <v>0</v>
      </c>
      <c r="Z78" s="115">
        <v>156692</v>
      </c>
      <c r="AA78" s="115">
        <v>0</v>
      </c>
      <c r="AB78" s="115">
        <v>0</v>
      </c>
      <c r="AC78" s="53"/>
      <c r="AD78" s="53"/>
      <c r="AE78" s="53"/>
      <c r="AF78" s="53"/>
      <c r="AG78" s="53"/>
      <c r="AH78" s="47"/>
      <c r="AI78" s="53">
        <f t="shared" si="18"/>
        <v>156692</v>
      </c>
      <c r="AJ78" s="51"/>
      <c r="AK78" s="55">
        <f t="shared" si="19"/>
        <v>0</v>
      </c>
    </row>
    <row r="79" spans="1:37" s="36" customFormat="1" ht="15.75" x14ac:dyDescent="0.25">
      <c r="A79" s="312" t="s">
        <v>201</v>
      </c>
      <c r="B79" s="312" t="s">
        <v>676</v>
      </c>
      <c r="C79" s="310" t="s">
        <v>563</v>
      </c>
      <c r="D79" s="310" t="s">
        <v>708</v>
      </c>
      <c r="E79" s="312" t="s">
        <v>690</v>
      </c>
      <c r="F79" s="310" t="s">
        <v>237</v>
      </c>
      <c r="G79" s="310"/>
      <c r="H79" s="318">
        <v>44277</v>
      </c>
      <c r="I79" s="318">
        <v>44293</v>
      </c>
      <c r="J79" s="331">
        <f t="shared" si="20"/>
        <v>16</v>
      </c>
      <c r="K79" s="310" t="s">
        <v>370</v>
      </c>
      <c r="L79" s="318">
        <v>44340</v>
      </c>
      <c r="M79" s="318">
        <v>44417</v>
      </c>
      <c r="N79" s="318"/>
      <c r="O79" s="311">
        <f t="shared" si="17"/>
        <v>2.558139534883721</v>
      </c>
      <c r="P79" s="311"/>
      <c r="Q79" s="311"/>
      <c r="R79" s="306">
        <v>94557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15">
        <v>0</v>
      </c>
      <c r="Z79" s="115">
        <v>94557</v>
      </c>
      <c r="AA79" s="115">
        <v>0</v>
      </c>
      <c r="AB79" s="115">
        <v>0</v>
      </c>
      <c r="AC79" s="53"/>
      <c r="AD79" s="53"/>
      <c r="AE79" s="53"/>
      <c r="AF79" s="53"/>
      <c r="AG79" s="53"/>
      <c r="AH79" s="47"/>
      <c r="AI79" s="53">
        <f t="shared" si="18"/>
        <v>94557</v>
      </c>
      <c r="AJ79" s="51"/>
      <c r="AK79" s="55">
        <f t="shared" si="19"/>
        <v>0</v>
      </c>
    </row>
    <row r="80" spans="1:37" s="36" customFormat="1" ht="15.75" x14ac:dyDescent="0.25">
      <c r="A80" s="34" t="s">
        <v>544</v>
      </c>
      <c r="B80" s="63" t="s">
        <v>670</v>
      </c>
      <c r="C80" s="52" t="s">
        <v>563</v>
      </c>
      <c r="D80" s="52" t="s">
        <v>708</v>
      </c>
      <c r="E80" s="34" t="s">
        <v>742</v>
      </c>
      <c r="F80" s="52" t="s">
        <v>46</v>
      </c>
      <c r="G80" s="52"/>
      <c r="H80" s="330">
        <v>44440</v>
      </c>
      <c r="I80" s="349">
        <v>44455</v>
      </c>
      <c r="J80" s="333">
        <f t="shared" si="20"/>
        <v>15</v>
      </c>
      <c r="K80" s="52"/>
      <c r="L80" s="330">
        <v>44461</v>
      </c>
      <c r="M80" s="52">
        <v>44486</v>
      </c>
      <c r="N80" s="330"/>
      <c r="O80" s="88">
        <f t="shared" si="17"/>
        <v>0.83056478405315626</v>
      </c>
      <c r="P80" s="50"/>
      <c r="Q80" s="50"/>
      <c r="R80" s="181">
        <v>29164</v>
      </c>
      <c r="S80" s="115">
        <v>0</v>
      </c>
      <c r="T80" s="115">
        <v>0</v>
      </c>
      <c r="U80" s="115">
        <v>0</v>
      </c>
      <c r="V80" s="115">
        <v>0</v>
      </c>
      <c r="W80" s="115">
        <v>0</v>
      </c>
      <c r="X80" s="115">
        <v>0</v>
      </c>
      <c r="Y80" s="115">
        <v>0</v>
      </c>
      <c r="Z80" s="115">
        <v>0</v>
      </c>
      <c r="AA80" s="115">
        <v>0</v>
      </c>
      <c r="AB80" s="115">
        <v>0</v>
      </c>
      <c r="AC80" s="275">
        <v>6835</v>
      </c>
      <c r="AD80" s="53"/>
      <c r="AE80" s="53"/>
      <c r="AF80" s="53"/>
      <c r="AG80" s="53"/>
      <c r="AH80" s="47"/>
      <c r="AI80" s="53">
        <f t="shared" si="18"/>
        <v>6835</v>
      </c>
      <c r="AJ80" s="51"/>
      <c r="AK80" s="55">
        <f t="shared" si="19"/>
        <v>-22329</v>
      </c>
    </row>
    <row r="81" spans="1:37" s="36" customFormat="1" ht="15.75" x14ac:dyDescent="0.25">
      <c r="A81" s="312" t="s">
        <v>529</v>
      </c>
      <c r="B81" s="312" t="s">
        <v>669</v>
      </c>
      <c r="C81" s="310" t="s">
        <v>563</v>
      </c>
      <c r="D81" s="310" t="s">
        <v>708</v>
      </c>
      <c r="E81" s="312" t="s">
        <v>692</v>
      </c>
      <c r="F81" s="310" t="s">
        <v>46</v>
      </c>
      <c r="G81" s="310"/>
      <c r="H81" s="318">
        <v>44323</v>
      </c>
      <c r="I81" s="318">
        <v>44358</v>
      </c>
      <c r="J81" s="331">
        <f t="shared" si="20"/>
        <v>35</v>
      </c>
      <c r="K81" s="310" t="s">
        <v>370</v>
      </c>
      <c r="L81" s="318">
        <v>44383</v>
      </c>
      <c r="M81" s="318">
        <v>44456</v>
      </c>
      <c r="N81" s="310"/>
      <c r="O81" s="311">
        <f>((M81-L81)/7)/4.3</f>
        <v>2.4252491694352161</v>
      </c>
      <c r="P81" s="311"/>
      <c r="Q81" s="311"/>
      <c r="R81" s="306">
        <v>101240</v>
      </c>
      <c r="S81" s="115">
        <v>0</v>
      </c>
      <c r="T81" s="115">
        <v>0</v>
      </c>
      <c r="U81" s="115">
        <v>0</v>
      </c>
      <c r="V81" s="115">
        <v>0</v>
      </c>
      <c r="W81" s="115">
        <v>0</v>
      </c>
      <c r="X81" s="115">
        <v>0</v>
      </c>
      <c r="Y81" s="115">
        <v>0</v>
      </c>
      <c r="Z81" s="115">
        <v>36103</v>
      </c>
      <c r="AA81" s="115">
        <v>58225</v>
      </c>
      <c r="AB81" s="115">
        <v>0</v>
      </c>
      <c r="AC81" s="53"/>
      <c r="AD81" s="53"/>
      <c r="AE81" s="53"/>
      <c r="AF81" s="53"/>
      <c r="AG81" s="53"/>
      <c r="AH81" s="47"/>
      <c r="AI81" s="53">
        <f t="shared" si="18"/>
        <v>94328</v>
      </c>
      <c r="AJ81" s="51"/>
      <c r="AK81" s="55">
        <f t="shared" si="19"/>
        <v>-6912</v>
      </c>
    </row>
    <row r="82" spans="1:37" s="36" customFormat="1" ht="15.75" x14ac:dyDescent="0.25">
      <c r="A82" s="312" t="s">
        <v>527</v>
      </c>
      <c r="B82" s="313" t="s">
        <v>677</v>
      </c>
      <c r="C82" s="310" t="s">
        <v>563</v>
      </c>
      <c r="D82" s="310" t="s">
        <v>708</v>
      </c>
      <c r="E82" s="312" t="s">
        <v>693</v>
      </c>
      <c r="F82" s="310" t="s">
        <v>237</v>
      </c>
      <c r="G82" s="310"/>
      <c r="H82" s="318">
        <v>44351</v>
      </c>
      <c r="I82" s="318">
        <v>44368</v>
      </c>
      <c r="J82" s="331">
        <f t="shared" si="20"/>
        <v>17</v>
      </c>
      <c r="K82" s="52" t="s">
        <v>370</v>
      </c>
      <c r="L82" s="318">
        <v>44375</v>
      </c>
      <c r="M82" s="310">
        <v>44438</v>
      </c>
      <c r="N82" s="310"/>
      <c r="O82" s="311">
        <f>((M82-L82)/7)/4.3</f>
        <v>2.0930232558139537</v>
      </c>
      <c r="P82" s="311"/>
      <c r="Q82" s="311"/>
      <c r="R82" s="306">
        <v>36900</v>
      </c>
      <c r="S82" s="115">
        <v>0</v>
      </c>
      <c r="T82" s="115">
        <v>0</v>
      </c>
      <c r="U82" s="115">
        <v>0</v>
      </c>
      <c r="V82" s="115">
        <v>0</v>
      </c>
      <c r="W82" s="115">
        <v>0</v>
      </c>
      <c r="X82" s="115">
        <v>0</v>
      </c>
      <c r="Y82" s="115">
        <v>0</v>
      </c>
      <c r="Z82" s="115">
        <v>36900</v>
      </c>
      <c r="AA82" s="115">
        <v>0</v>
      </c>
      <c r="AB82" s="115">
        <v>0</v>
      </c>
      <c r="AC82" s="53"/>
      <c r="AD82" s="53"/>
      <c r="AE82" s="53"/>
      <c r="AF82" s="58"/>
      <c r="AG82" s="58"/>
      <c r="AH82" s="47"/>
      <c r="AI82" s="53">
        <f t="shared" si="18"/>
        <v>36900</v>
      </c>
      <c r="AJ82" s="51"/>
      <c r="AK82" s="55">
        <f t="shared" si="19"/>
        <v>0</v>
      </c>
    </row>
    <row r="83" spans="1:37" s="36" customFormat="1" ht="15.75" x14ac:dyDescent="0.25">
      <c r="A83" s="62" t="s">
        <v>666</v>
      </c>
      <c r="B83" s="353" t="s">
        <v>741</v>
      </c>
      <c r="C83" s="52" t="s">
        <v>563</v>
      </c>
      <c r="D83" s="52" t="s">
        <v>708</v>
      </c>
      <c r="E83" s="34" t="s">
        <v>690</v>
      </c>
      <c r="F83" s="52" t="s">
        <v>46</v>
      </c>
      <c r="G83" s="52"/>
      <c r="H83" s="330">
        <v>44460</v>
      </c>
      <c r="I83" s="347">
        <v>44484</v>
      </c>
      <c r="J83" s="50">
        <f t="shared" si="20"/>
        <v>24</v>
      </c>
      <c r="K83" s="52" t="s">
        <v>320</v>
      </c>
      <c r="L83" s="330">
        <v>44468</v>
      </c>
      <c r="M83" s="330">
        <v>44477</v>
      </c>
      <c r="N83" s="52"/>
      <c r="O83" s="50">
        <f>((M83-L83)/7)/4.3</f>
        <v>0.29900332225913623</v>
      </c>
      <c r="P83" s="50"/>
      <c r="Q83" s="50"/>
      <c r="R83" s="182">
        <v>19970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15">
        <v>0</v>
      </c>
      <c r="AC83" s="53"/>
      <c r="AD83" s="53"/>
      <c r="AE83" s="53"/>
      <c r="AF83" s="58"/>
      <c r="AG83" s="58"/>
      <c r="AH83" s="47"/>
      <c r="AI83" s="53">
        <f t="shared" si="18"/>
        <v>0</v>
      </c>
      <c r="AJ83" s="51"/>
      <c r="AK83" s="55">
        <f t="shared" si="19"/>
        <v>-19970</v>
      </c>
    </row>
    <row r="84" spans="1:37" s="36" customFormat="1" ht="15.75" x14ac:dyDescent="0.25">
      <c r="A84" s="93"/>
      <c r="B84" s="94"/>
      <c r="C84" s="91"/>
      <c r="D84" s="91"/>
      <c r="E84" s="94"/>
      <c r="F84" s="91"/>
      <c r="G84" s="91"/>
      <c r="H84" s="91"/>
      <c r="I84" s="91"/>
      <c r="J84" s="92"/>
      <c r="K84" s="91"/>
      <c r="L84" s="91"/>
      <c r="M84" s="91"/>
      <c r="N84" s="91"/>
      <c r="O84" s="92"/>
      <c r="P84" s="92"/>
      <c r="Q84" s="92"/>
      <c r="R84" s="243">
        <f t="shared" ref="R84:AG84" si="21">SUM(R68:R83)</f>
        <v>3406991</v>
      </c>
      <c r="S84" s="59">
        <f t="shared" si="21"/>
        <v>0</v>
      </c>
      <c r="T84" s="59">
        <f t="shared" si="21"/>
        <v>0</v>
      </c>
      <c r="U84" s="59">
        <f t="shared" si="21"/>
        <v>0</v>
      </c>
      <c r="V84" s="59">
        <f t="shared" si="21"/>
        <v>0</v>
      </c>
      <c r="W84" s="59">
        <f t="shared" si="21"/>
        <v>0</v>
      </c>
      <c r="X84" s="59">
        <f t="shared" si="21"/>
        <v>0</v>
      </c>
      <c r="Y84" s="59">
        <f t="shared" si="21"/>
        <v>254115</v>
      </c>
      <c r="Z84" s="59">
        <f t="shared" si="21"/>
        <v>324252</v>
      </c>
      <c r="AA84" s="59">
        <f t="shared" si="21"/>
        <v>392112</v>
      </c>
      <c r="AB84" s="59">
        <f t="shared" si="21"/>
        <v>13768.89</v>
      </c>
      <c r="AC84" s="59">
        <f t="shared" si="21"/>
        <v>292835</v>
      </c>
      <c r="AD84" s="59">
        <f t="shared" si="21"/>
        <v>253000</v>
      </c>
      <c r="AE84" s="59">
        <f t="shared" si="21"/>
        <v>221000</v>
      </c>
      <c r="AF84" s="59">
        <f t="shared" si="21"/>
        <v>1448837</v>
      </c>
      <c r="AG84" s="59">
        <f t="shared" si="21"/>
        <v>0</v>
      </c>
      <c r="AH84" s="47"/>
      <c r="AI84" s="53">
        <f t="shared" si="18"/>
        <v>3199919.89</v>
      </c>
      <c r="AJ84" s="51"/>
      <c r="AK84" s="55">
        <f t="shared" si="19"/>
        <v>-207071.10999999987</v>
      </c>
    </row>
    <row r="85" spans="1:37" s="36" customFormat="1" ht="15.75" x14ac:dyDescent="0.25">
      <c r="A85" s="106" t="s">
        <v>667</v>
      </c>
      <c r="B85" s="107"/>
      <c r="C85" s="101" t="s">
        <v>563</v>
      </c>
      <c r="D85" s="102"/>
      <c r="E85" s="107"/>
      <c r="F85" s="102"/>
      <c r="G85" s="102"/>
      <c r="H85" s="276"/>
      <c r="I85" s="276"/>
      <c r="J85" s="84"/>
      <c r="K85" s="102"/>
      <c r="L85" s="102"/>
      <c r="M85" s="102"/>
      <c r="N85" s="102"/>
      <c r="O85" s="84"/>
      <c r="P85" s="84"/>
      <c r="Q85" s="84"/>
      <c r="R85" s="193"/>
      <c r="S85" s="85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47"/>
      <c r="AI85" s="85"/>
      <c r="AJ85" s="51"/>
      <c r="AK85" s="218">
        <f t="shared" si="19"/>
        <v>0</v>
      </c>
    </row>
    <row r="86" spans="1:37" s="36" customFormat="1" ht="15.75" x14ac:dyDescent="0.25">
      <c r="A86" s="113" t="s">
        <v>224</v>
      </c>
      <c r="B86" s="186" t="s">
        <v>680</v>
      </c>
      <c r="C86" s="52" t="s">
        <v>664</v>
      </c>
      <c r="D86" s="52" t="s">
        <v>665</v>
      </c>
      <c r="E86" s="35" t="s">
        <v>689</v>
      </c>
      <c r="F86" s="52" t="s">
        <v>46</v>
      </c>
      <c r="G86" s="52"/>
      <c r="H86" s="330">
        <v>44365</v>
      </c>
      <c r="I86" s="347">
        <v>44484</v>
      </c>
      <c r="J86" s="50">
        <f>I86-H86</f>
        <v>119</v>
      </c>
      <c r="K86" s="52" t="s">
        <v>320</v>
      </c>
      <c r="L86" s="52">
        <f>I86+15</f>
        <v>44499</v>
      </c>
      <c r="M86" s="52">
        <v>44687.8</v>
      </c>
      <c r="N86" s="52"/>
      <c r="O86" s="88">
        <f>((M86-L86)/7)/4.3</f>
        <v>6.2724252491695323</v>
      </c>
      <c r="P86" s="88"/>
      <c r="Q86" s="88"/>
      <c r="R86" s="53">
        <v>2015533</v>
      </c>
      <c r="S86" s="115">
        <v>0</v>
      </c>
      <c r="T86" s="115">
        <v>0</v>
      </c>
      <c r="U86" s="115">
        <v>0</v>
      </c>
      <c r="V86" s="115">
        <v>0</v>
      </c>
      <c r="W86" s="115">
        <v>0</v>
      </c>
      <c r="X86" s="115">
        <v>0</v>
      </c>
      <c r="Y86" s="115">
        <v>0</v>
      </c>
      <c r="Z86" s="115">
        <v>0</v>
      </c>
      <c r="AA86" s="115">
        <v>141412</v>
      </c>
      <c r="AB86" s="115">
        <v>0</v>
      </c>
      <c r="AC86" s="275">
        <v>300000</v>
      </c>
      <c r="AD86" s="275">
        <v>400000</v>
      </c>
      <c r="AE86" s="275">
        <v>500000</v>
      </c>
      <c r="AF86" s="275">
        <v>574121</v>
      </c>
      <c r="AG86" s="53"/>
      <c r="AH86" s="47"/>
      <c r="AI86" s="53">
        <f>SUM(S86:AH86)</f>
        <v>1915533</v>
      </c>
      <c r="AJ86" s="51"/>
      <c r="AK86" s="218">
        <f t="shared" si="19"/>
        <v>-100000</v>
      </c>
    </row>
    <row r="87" spans="1:37" s="36" customFormat="1" ht="15.75" x14ac:dyDescent="0.25">
      <c r="A87" s="93"/>
      <c r="B87" s="94"/>
      <c r="C87" s="91"/>
      <c r="D87" s="91"/>
      <c r="E87" s="94"/>
      <c r="F87" s="91"/>
      <c r="G87" s="91"/>
      <c r="H87" s="91"/>
      <c r="I87" s="91"/>
      <c r="J87" s="92"/>
      <c r="K87" s="91"/>
      <c r="L87" s="91"/>
      <c r="M87" s="91"/>
      <c r="N87" s="91"/>
      <c r="O87" s="92"/>
      <c r="P87" s="92"/>
      <c r="Q87" s="92"/>
      <c r="R87" s="59">
        <f>SUM(R86)</f>
        <v>2015533</v>
      </c>
      <c r="S87" s="59">
        <f t="shared" ref="S87:AG87" si="22">SUM(S86)</f>
        <v>0</v>
      </c>
      <c r="T87" s="59">
        <f t="shared" si="22"/>
        <v>0</v>
      </c>
      <c r="U87" s="59">
        <f t="shared" si="22"/>
        <v>0</v>
      </c>
      <c r="V87" s="59">
        <f t="shared" si="22"/>
        <v>0</v>
      </c>
      <c r="W87" s="59">
        <f t="shared" si="22"/>
        <v>0</v>
      </c>
      <c r="X87" s="59">
        <f t="shared" si="22"/>
        <v>0</v>
      </c>
      <c r="Y87" s="59">
        <f t="shared" si="22"/>
        <v>0</v>
      </c>
      <c r="Z87" s="59">
        <f t="shared" si="22"/>
        <v>0</v>
      </c>
      <c r="AA87" s="59">
        <f t="shared" si="22"/>
        <v>141412</v>
      </c>
      <c r="AB87" s="59">
        <f t="shared" si="22"/>
        <v>0</v>
      </c>
      <c r="AC87" s="59">
        <f t="shared" si="22"/>
        <v>300000</v>
      </c>
      <c r="AD87" s="59">
        <f t="shared" si="22"/>
        <v>400000</v>
      </c>
      <c r="AE87" s="59">
        <f t="shared" si="22"/>
        <v>500000</v>
      </c>
      <c r="AF87" s="59">
        <f t="shared" si="22"/>
        <v>574121</v>
      </c>
      <c r="AG87" s="59">
        <f t="shared" si="22"/>
        <v>0</v>
      </c>
      <c r="AH87" s="47"/>
      <c r="AI87" s="53">
        <f>SUM(S87:AH87)</f>
        <v>1915533</v>
      </c>
      <c r="AJ87" s="51"/>
      <c r="AK87" s="218">
        <f t="shared" si="19"/>
        <v>-100000</v>
      </c>
    </row>
    <row r="88" spans="1:37" s="36" customFormat="1" ht="15.75" x14ac:dyDescent="0.25">
      <c r="A88" s="106" t="s">
        <v>623</v>
      </c>
      <c r="B88" s="107"/>
      <c r="C88" s="101"/>
      <c r="D88" s="102"/>
      <c r="E88" s="107"/>
      <c r="F88" s="102"/>
      <c r="G88" s="102"/>
      <c r="H88" s="276"/>
      <c r="I88" s="276"/>
      <c r="J88" s="84"/>
      <c r="K88" s="102"/>
      <c r="L88" s="102"/>
      <c r="M88" s="102"/>
      <c r="N88" s="102"/>
      <c r="O88" s="84"/>
      <c r="P88" s="84"/>
      <c r="Q88" s="84"/>
      <c r="R88" s="193"/>
      <c r="S88" s="85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47"/>
      <c r="AI88" s="85"/>
      <c r="AJ88" s="51"/>
      <c r="AK88" s="218">
        <f t="shared" si="19"/>
        <v>0</v>
      </c>
    </row>
    <row r="89" spans="1:37" s="36" customFormat="1" ht="15.75" x14ac:dyDescent="0.25">
      <c r="A89" s="113" t="s">
        <v>541</v>
      </c>
      <c r="B89" s="186" t="s">
        <v>542</v>
      </c>
      <c r="C89" s="52" t="s">
        <v>368</v>
      </c>
      <c r="D89" s="52" t="s">
        <v>402</v>
      </c>
      <c r="E89" s="114" t="s">
        <v>643</v>
      </c>
      <c r="F89" s="52" t="s">
        <v>623</v>
      </c>
      <c r="G89" s="52"/>
      <c r="H89" s="347">
        <v>44484</v>
      </c>
      <c r="I89" s="52">
        <v>44515</v>
      </c>
      <c r="J89" s="50">
        <f t="shared" ref="J89:J110" si="23">I89-H89</f>
        <v>31</v>
      </c>
      <c r="K89" s="52" t="s">
        <v>320</v>
      </c>
      <c r="L89" s="52">
        <f>I89+30</f>
        <v>44545</v>
      </c>
      <c r="M89" s="52"/>
      <c r="N89" s="52"/>
      <c r="O89" s="50">
        <f t="shared" ref="O89:O104" si="24">((M89-L89)/7)/4.3</f>
        <v>-1479.9003322259136</v>
      </c>
      <c r="P89" s="50"/>
      <c r="Q89" s="50"/>
      <c r="R89" s="53">
        <v>1900000</v>
      </c>
      <c r="S89" s="115">
        <v>0</v>
      </c>
      <c r="T89" s="115">
        <v>0</v>
      </c>
      <c r="U89" s="115">
        <v>0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115">
        <v>0</v>
      </c>
      <c r="AB89" s="115">
        <v>0</v>
      </c>
      <c r="AC89" s="58"/>
      <c r="AD89" s="58"/>
      <c r="AE89" s="275">
        <v>200000</v>
      </c>
      <c r="AF89" s="275">
        <v>1700000</v>
      </c>
      <c r="AG89" s="53"/>
      <c r="AH89" s="47"/>
      <c r="AI89" s="53">
        <f t="shared" ref="AI89:AI104" si="25">SUM(S89:AH89)</f>
        <v>1900000</v>
      </c>
      <c r="AJ89" s="51"/>
      <c r="AK89" s="218">
        <f t="shared" si="19"/>
        <v>0</v>
      </c>
    </row>
    <row r="90" spans="1:37" s="36" customFormat="1" ht="15.75" x14ac:dyDescent="0.25">
      <c r="A90" s="113" t="s">
        <v>191</v>
      </c>
      <c r="B90" s="114" t="s">
        <v>192</v>
      </c>
      <c r="C90" s="52" t="s">
        <v>45</v>
      </c>
      <c r="D90" s="52" t="s">
        <v>45</v>
      </c>
      <c r="E90" s="114" t="s">
        <v>193</v>
      </c>
      <c r="F90" s="52" t="s">
        <v>623</v>
      </c>
      <c r="G90" s="52"/>
      <c r="H90" s="299">
        <v>44564</v>
      </c>
      <c r="I90" s="87">
        <v>44591</v>
      </c>
      <c r="J90" s="50">
        <f t="shared" si="23"/>
        <v>27</v>
      </c>
      <c r="K90" s="52" t="s">
        <v>320</v>
      </c>
      <c r="L90" s="52">
        <v>44927</v>
      </c>
      <c r="M90" s="52">
        <v>44831</v>
      </c>
      <c r="N90" s="52"/>
      <c r="O90" s="50">
        <f t="shared" si="24"/>
        <v>-3.1893687707641196</v>
      </c>
      <c r="P90" s="50"/>
      <c r="Q90" s="50"/>
      <c r="R90" s="53">
        <v>4000000</v>
      </c>
      <c r="S90" s="115">
        <v>0</v>
      </c>
      <c r="T90" s="115">
        <v>0</v>
      </c>
      <c r="U90" s="115">
        <v>0</v>
      </c>
      <c r="V90" s="115">
        <v>0</v>
      </c>
      <c r="W90" s="115">
        <v>0</v>
      </c>
      <c r="X90" s="115">
        <v>0</v>
      </c>
      <c r="Y90" s="115">
        <v>0</v>
      </c>
      <c r="Z90" s="115">
        <v>0</v>
      </c>
      <c r="AA90" s="115">
        <v>0</v>
      </c>
      <c r="AB90" s="115">
        <v>0</v>
      </c>
      <c r="AC90" s="58"/>
      <c r="AD90" s="58"/>
      <c r="AE90" s="58"/>
      <c r="AF90" s="58"/>
      <c r="AG90" s="275">
        <v>4000000</v>
      </c>
      <c r="AH90" s="47"/>
      <c r="AI90" s="53">
        <f t="shared" si="25"/>
        <v>4000000</v>
      </c>
      <c r="AJ90" s="51"/>
      <c r="AK90" s="218">
        <f t="shared" si="19"/>
        <v>0</v>
      </c>
    </row>
    <row r="91" spans="1:37" s="36" customFormat="1" ht="15.75" x14ac:dyDescent="0.25">
      <c r="A91" s="113" t="s">
        <v>194</v>
      </c>
      <c r="B91" s="35" t="s">
        <v>609</v>
      </c>
      <c r="C91" s="52" t="s">
        <v>45</v>
      </c>
      <c r="D91" s="52" t="s">
        <v>45</v>
      </c>
      <c r="E91" s="35" t="s">
        <v>196</v>
      </c>
      <c r="F91" s="52" t="s">
        <v>623</v>
      </c>
      <c r="G91" s="52"/>
      <c r="H91" s="299">
        <v>44564</v>
      </c>
      <c r="I91" s="52">
        <v>44607</v>
      </c>
      <c r="J91" s="50">
        <f t="shared" si="23"/>
        <v>43</v>
      </c>
      <c r="K91" s="52" t="s">
        <v>320</v>
      </c>
      <c r="L91" s="52">
        <v>44593</v>
      </c>
      <c r="M91" s="52">
        <v>44817</v>
      </c>
      <c r="N91" s="52"/>
      <c r="O91" s="50">
        <f t="shared" si="24"/>
        <v>7.441860465116279</v>
      </c>
      <c r="P91" s="50"/>
      <c r="Q91" s="50"/>
      <c r="R91" s="53">
        <v>2200000</v>
      </c>
      <c r="S91" s="115">
        <v>0</v>
      </c>
      <c r="T91" s="115">
        <v>0</v>
      </c>
      <c r="U91" s="115">
        <v>0</v>
      </c>
      <c r="V91" s="115">
        <v>0</v>
      </c>
      <c r="W91" s="115">
        <v>0</v>
      </c>
      <c r="X91" s="115">
        <v>0</v>
      </c>
      <c r="Y91" s="115">
        <v>0</v>
      </c>
      <c r="Z91" s="115">
        <v>0</v>
      </c>
      <c r="AA91" s="115">
        <v>0</v>
      </c>
      <c r="AB91" s="115">
        <v>0</v>
      </c>
      <c r="AC91" s="53"/>
      <c r="AD91" s="53"/>
      <c r="AE91" s="53"/>
      <c r="AF91" s="275">
        <v>3000000</v>
      </c>
      <c r="AG91" s="53"/>
      <c r="AH91" s="47"/>
      <c r="AI91" s="53">
        <f t="shared" si="25"/>
        <v>3000000</v>
      </c>
      <c r="AJ91" s="51"/>
      <c r="AK91" s="218">
        <f t="shared" si="19"/>
        <v>800000</v>
      </c>
    </row>
    <row r="92" spans="1:37" s="36" customFormat="1" ht="15.75" x14ac:dyDescent="0.25">
      <c r="A92" s="113" t="s">
        <v>647</v>
      </c>
      <c r="B92" s="114" t="s">
        <v>604</v>
      </c>
      <c r="C92" s="52" t="s">
        <v>568</v>
      </c>
      <c r="D92" s="52" t="s">
        <v>630</v>
      </c>
      <c r="E92" s="114" t="s">
        <v>684</v>
      </c>
      <c r="F92" s="52" t="s">
        <v>623</v>
      </c>
      <c r="G92" s="52"/>
      <c r="H92" s="52">
        <v>44564</v>
      </c>
      <c r="I92" s="52">
        <v>44574</v>
      </c>
      <c r="J92" s="50">
        <f t="shared" si="23"/>
        <v>10</v>
      </c>
      <c r="K92" s="52" t="s">
        <v>320</v>
      </c>
      <c r="L92" s="52">
        <f>I92+30</f>
        <v>44604</v>
      </c>
      <c r="M92" s="52"/>
      <c r="N92" s="52"/>
      <c r="O92" s="50">
        <f t="shared" si="24"/>
        <v>-1481.8604651162791</v>
      </c>
      <c r="P92" s="50"/>
      <c r="Q92" s="50"/>
      <c r="R92" s="189">
        <v>980000</v>
      </c>
      <c r="S92" s="115">
        <v>0</v>
      </c>
      <c r="T92" s="115">
        <v>0</v>
      </c>
      <c r="U92" s="115">
        <v>0</v>
      </c>
      <c r="V92" s="115">
        <v>0</v>
      </c>
      <c r="W92" s="115">
        <v>0</v>
      </c>
      <c r="X92" s="115">
        <v>0</v>
      </c>
      <c r="Y92" s="115">
        <v>0</v>
      </c>
      <c r="Z92" s="115">
        <v>0</v>
      </c>
      <c r="AA92" s="115">
        <v>0</v>
      </c>
      <c r="AB92" s="115">
        <v>0</v>
      </c>
      <c r="AC92" s="53"/>
      <c r="AD92" s="53"/>
      <c r="AE92" s="53"/>
      <c r="AF92" s="275">
        <v>980000</v>
      </c>
      <c r="AG92" s="53"/>
      <c r="AH92" s="47"/>
      <c r="AI92" s="53">
        <f t="shared" si="25"/>
        <v>980000</v>
      </c>
      <c r="AJ92" s="51"/>
      <c r="AK92" s="218">
        <f t="shared" si="19"/>
        <v>0</v>
      </c>
    </row>
    <row r="93" spans="1:37" s="36" customFormat="1" ht="15.75" x14ac:dyDescent="0.25">
      <c r="A93" s="113" t="s">
        <v>648</v>
      </c>
      <c r="B93" s="114" t="s">
        <v>605</v>
      </c>
      <c r="C93" s="52" t="s">
        <v>568</v>
      </c>
      <c r="D93" s="52" t="s">
        <v>630</v>
      </c>
      <c r="E93" s="114" t="s">
        <v>684</v>
      </c>
      <c r="F93" s="52" t="s">
        <v>623</v>
      </c>
      <c r="G93" s="52"/>
      <c r="H93" s="52">
        <v>44564</v>
      </c>
      <c r="I93" s="52">
        <v>44592</v>
      </c>
      <c r="J93" s="50">
        <f t="shared" si="23"/>
        <v>28</v>
      </c>
      <c r="K93" s="52" t="s">
        <v>320</v>
      </c>
      <c r="L93" s="52">
        <f t="shared" ref="L93:L120" si="26">I93+30</f>
        <v>44622</v>
      </c>
      <c r="M93" s="52"/>
      <c r="N93" s="52"/>
      <c r="O93" s="50">
        <f t="shared" si="24"/>
        <v>-1482.4584717607975</v>
      </c>
      <c r="P93" s="50"/>
      <c r="Q93" s="50"/>
      <c r="R93" s="189">
        <v>1558000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15">
        <v>0</v>
      </c>
      <c r="Y93" s="115">
        <v>0</v>
      </c>
      <c r="Z93" s="115">
        <v>0</v>
      </c>
      <c r="AA93" s="115">
        <v>0</v>
      </c>
      <c r="AB93" s="115">
        <v>0</v>
      </c>
      <c r="AC93" s="53"/>
      <c r="AD93" s="53"/>
      <c r="AE93" s="53"/>
      <c r="AF93" s="275">
        <v>1558000</v>
      </c>
      <c r="AG93" s="53"/>
      <c r="AH93" s="47"/>
      <c r="AI93" s="53">
        <f t="shared" si="25"/>
        <v>1558000</v>
      </c>
      <c r="AJ93" s="51"/>
      <c r="AK93" s="218">
        <f t="shared" si="19"/>
        <v>0</v>
      </c>
    </row>
    <row r="94" spans="1:37" s="36" customFormat="1" ht="15.75" x14ac:dyDescent="0.25">
      <c r="A94" s="113" t="s">
        <v>649</v>
      </c>
      <c r="B94" s="186" t="s">
        <v>606</v>
      </c>
      <c r="C94" s="52" t="s">
        <v>568</v>
      </c>
      <c r="D94" s="52" t="s">
        <v>630</v>
      </c>
      <c r="E94" s="114" t="s">
        <v>684</v>
      </c>
      <c r="F94" s="52" t="s">
        <v>623</v>
      </c>
      <c r="G94" s="52"/>
      <c r="H94" s="347">
        <v>44484</v>
      </c>
      <c r="I94" s="52">
        <v>44515</v>
      </c>
      <c r="J94" s="50">
        <f t="shared" si="23"/>
        <v>31</v>
      </c>
      <c r="K94" s="52" t="s">
        <v>320</v>
      </c>
      <c r="L94" s="52">
        <f t="shared" si="26"/>
        <v>44545</v>
      </c>
      <c r="M94" s="52"/>
      <c r="N94" s="52"/>
      <c r="O94" s="50">
        <f t="shared" si="24"/>
        <v>-1479.9003322259136</v>
      </c>
      <c r="P94" s="50"/>
      <c r="Q94" s="50"/>
      <c r="R94" s="189">
        <v>540000</v>
      </c>
      <c r="S94" s="115">
        <v>0</v>
      </c>
      <c r="T94" s="115">
        <v>0</v>
      </c>
      <c r="U94" s="115">
        <v>0</v>
      </c>
      <c r="V94" s="115">
        <v>0</v>
      </c>
      <c r="W94" s="115">
        <v>0</v>
      </c>
      <c r="X94" s="115">
        <v>0</v>
      </c>
      <c r="Y94" s="115">
        <v>0</v>
      </c>
      <c r="Z94" s="115">
        <v>0</v>
      </c>
      <c r="AA94" s="115">
        <v>0</v>
      </c>
      <c r="AB94" s="115">
        <v>0</v>
      </c>
      <c r="AC94" s="53"/>
      <c r="AD94" s="53"/>
      <c r="AE94" s="53"/>
      <c r="AF94" s="275">
        <v>540000</v>
      </c>
      <c r="AG94" s="53"/>
      <c r="AH94" s="47"/>
      <c r="AI94" s="53">
        <f t="shared" si="25"/>
        <v>540000</v>
      </c>
      <c r="AJ94" s="51"/>
      <c r="AK94" s="218">
        <f t="shared" si="19"/>
        <v>0</v>
      </c>
    </row>
    <row r="95" spans="1:37" s="36" customFormat="1" ht="15.75" x14ac:dyDescent="0.25">
      <c r="A95" s="113" t="s">
        <v>650</v>
      </c>
      <c r="B95" s="114" t="s">
        <v>607</v>
      </c>
      <c r="C95" s="52" t="s">
        <v>568</v>
      </c>
      <c r="D95" s="52" t="s">
        <v>630</v>
      </c>
      <c r="E95" s="114" t="s">
        <v>684</v>
      </c>
      <c r="F95" s="52" t="s">
        <v>623</v>
      </c>
      <c r="G95" s="52"/>
      <c r="H95" s="52">
        <v>44564</v>
      </c>
      <c r="I95" s="52">
        <v>44592</v>
      </c>
      <c r="J95" s="50">
        <f t="shared" si="23"/>
        <v>28</v>
      </c>
      <c r="K95" s="52" t="s">
        <v>320</v>
      </c>
      <c r="L95" s="52">
        <f t="shared" si="26"/>
        <v>44622</v>
      </c>
      <c r="M95" s="52"/>
      <c r="N95" s="52"/>
      <c r="O95" s="50">
        <f t="shared" si="24"/>
        <v>-1482.4584717607975</v>
      </c>
      <c r="P95" s="50"/>
      <c r="Q95" s="50"/>
      <c r="R95" s="189">
        <v>800000</v>
      </c>
      <c r="S95" s="115">
        <v>0</v>
      </c>
      <c r="T95" s="115">
        <v>0</v>
      </c>
      <c r="U95" s="115">
        <v>0</v>
      </c>
      <c r="V95" s="115">
        <v>0</v>
      </c>
      <c r="W95" s="115">
        <v>0</v>
      </c>
      <c r="X95" s="115">
        <v>0</v>
      </c>
      <c r="Y95" s="115">
        <v>0</v>
      </c>
      <c r="Z95" s="115">
        <v>0</v>
      </c>
      <c r="AA95" s="115">
        <v>0</v>
      </c>
      <c r="AB95" s="115">
        <v>0</v>
      </c>
      <c r="AC95" s="53"/>
      <c r="AD95" s="53"/>
      <c r="AE95" s="53"/>
      <c r="AF95" s="275">
        <v>800000</v>
      </c>
      <c r="AG95" s="53"/>
      <c r="AH95" s="47"/>
      <c r="AI95" s="53">
        <f t="shared" si="25"/>
        <v>800000</v>
      </c>
      <c r="AJ95" s="51"/>
      <c r="AK95" s="218">
        <f t="shared" si="19"/>
        <v>0</v>
      </c>
    </row>
    <row r="96" spans="1:37" s="36" customFormat="1" ht="15.75" x14ac:dyDescent="0.25">
      <c r="A96" s="113" t="s">
        <v>651</v>
      </c>
      <c r="B96" s="114" t="s">
        <v>608</v>
      </c>
      <c r="C96" s="52" t="s">
        <v>568</v>
      </c>
      <c r="D96" s="52" t="s">
        <v>630</v>
      </c>
      <c r="E96" s="114" t="s">
        <v>684</v>
      </c>
      <c r="F96" s="52" t="s">
        <v>623</v>
      </c>
      <c r="G96" s="52"/>
      <c r="H96" s="52">
        <v>44564</v>
      </c>
      <c r="I96" s="52">
        <v>44592</v>
      </c>
      <c r="J96" s="50">
        <f t="shared" si="23"/>
        <v>28</v>
      </c>
      <c r="K96" s="52" t="s">
        <v>320</v>
      </c>
      <c r="L96" s="52">
        <f t="shared" si="26"/>
        <v>44622</v>
      </c>
      <c r="M96" s="52"/>
      <c r="N96" s="52"/>
      <c r="O96" s="50">
        <f t="shared" si="24"/>
        <v>-1482.4584717607975</v>
      </c>
      <c r="P96" s="50"/>
      <c r="Q96" s="50"/>
      <c r="R96" s="189">
        <v>690000</v>
      </c>
      <c r="S96" s="115">
        <v>0</v>
      </c>
      <c r="T96" s="115">
        <v>0</v>
      </c>
      <c r="U96" s="115">
        <v>0</v>
      </c>
      <c r="V96" s="115">
        <v>0</v>
      </c>
      <c r="W96" s="115">
        <v>0</v>
      </c>
      <c r="X96" s="115">
        <v>0</v>
      </c>
      <c r="Y96" s="115">
        <v>0</v>
      </c>
      <c r="Z96" s="115">
        <v>0</v>
      </c>
      <c r="AA96" s="115">
        <v>0</v>
      </c>
      <c r="AB96" s="115">
        <v>0</v>
      </c>
      <c r="AC96" s="53"/>
      <c r="AD96" s="53"/>
      <c r="AE96" s="53"/>
      <c r="AF96" s="275">
        <v>690000</v>
      </c>
      <c r="AG96" s="53"/>
      <c r="AH96" s="47"/>
      <c r="AI96" s="53">
        <f t="shared" si="25"/>
        <v>690000</v>
      </c>
      <c r="AJ96" s="51"/>
      <c r="AK96" s="218">
        <f t="shared" si="19"/>
        <v>0</v>
      </c>
    </row>
    <row r="97" spans="1:37" s="36" customFormat="1" ht="15.75" x14ac:dyDescent="0.25">
      <c r="A97" s="113" t="s">
        <v>206</v>
      </c>
      <c r="B97" s="35" t="s">
        <v>207</v>
      </c>
      <c r="C97" s="52" t="s">
        <v>45</v>
      </c>
      <c r="D97" s="52" t="s">
        <v>45</v>
      </c>
      <c r="E97" s="35"/>
      <c r="F97" s="52" t="s">
        <v>623</v>
      </c>
      <c r="G97" s="52"/>
      <c r="H97" s="299">
        <v>44564</v>
      </c>
      <c r="I97" s="87">
        <v>44593</v>
      </c>
      <c r="J97" s="50">
        <f t="shared" si="23"/>
        <v>29</v>
      </c>
      <c r="K97" s="52" t="s">
        <v>320</v>
      </c>
      <c r="L97" s="52">
        <f t="shared" si="26"/>
        <v>44623</v>
      </c>
      <c r="M97" s="52"/>
      <c r="N97" s="52"/>
      <c r="O97" s="50">
        <f t="shared" si="24"/>
        <v>-1482.4916943521594</v>
      </c>
      <c r="P97" s="50"/>
      <c r="Q97" s="50"/>
      <c r="R97" s="53">
        <v>2500000</v>
      </c>
      <c r="S97" s="115">
        <v>0</v>
      </c>
      <c r="T97" s="115">
        <v>0</v>
      </c>
      <c r="U97" s="115">
        <v>0</v>
      </c>
      <c r="V97" s="115">
        <v>0</v>
      </c>
      <c r="W97" s="115">
        <v>0</v>
      </c>
      <c r="X97" s="115">
        <v>0</v>
      </c>
      <c r="Y97" s="115">
        <v>0</v>
      </c>
      <c r="Z97" s="115">
        <v>0</v>
      </c>
      <c r="AA97" s="115">
        <v>0</v>
      </c>
      <c r="AB97" s="115">
        <v>0</v>
      </c>
      <c r="AC97" s="53"/>
      <c r="AD97" s="53"/>
      <c r="AE97" s="53"/>
      <c r="AF97" s="275">
        <v>3000000</v>
      </c>
      <c r="AG97" s="53"/>
      <c r="AH97" s="47"/>
      <c r="AI97" s="53">
        <f t="shared" si="25"/>
        <v>3000000</v>
      </c>
      <c r="AJ97" s="51"/>
      <c r="AK97" s="218">
        <f t="shared" si="19"/>
        <v>500000</v>
      </c>
    </row>
    <row r="98" spans="1:37" s="36" customFormat="1" ht="15.75" x14ac:dyDescent="0.25">
      <c r="A98" s="113" t="s">
        <v>208</v>
      </c>
      <c r="B98" s="186" t="s">
        <v>480</v>
      </c>
      <c r="C98" s="52" t="s">
        <v>45</v>
      </c>
      <c r="D98" s="52" t="s">
        <v>45</v>
      </c>
      <c r="E98" s="35" t="s">
        <v>694</v>
      </c>
      <c r="F98" s="52" t="s">
        <v>623</v>
      </c>
      <c r="G98" s="52"/>
      <c r="H98" s="348">
        <v>44484</v>
      </c>
      <c r="I98" s="87">
        <f>H98+30</f>
        <v>44514</v>
      </c>
      <c r="J98" s="50">
        <f t="shared" si="23"/>
        <v>30</v>
      </c>
      <c r="K98" s="52" t="s">
        <v>320</v>
      </c>
      <c r="L98" s="52">
        <v>44521</v>
      </c>
      <c r="M98" s="52"/>
      <c r="N98" s="52"/>
      <c r="O98" s="50">
        <f t="shared" si="24"/>
        <v>-1479.1029900332226</v>
      </c>
      <c r="P98" s="50"/>
      <c r="Q98" s="50"/>
      <c r="R98" s="53">
        <v>2200000</v>
      </c>
      <c r="S98" s="115">
        <v>0</v>
      </c>
      <c r="T98" s="115">
        <v>0</v>
      </c>
      <c r="U98" s="115">
        <v>0</v>
      </c>
      <c r="V98" s="115">
        <v>0</v>
      </c>
      <c r="W98" s="115">
        <v>0</v>
      </c>
      <c r="X98" s="115">
        <v>0</v>
      </c>
      <c r="Y98" s="115">
        <v>0</v>
      </c>
      <c r="Z98" s="115">
        <v>0</v>
      </c>
      <c r="AA98" s="115">
        <v>0</v>
      </c>
      <c r="AB98" s="115">
        <v>0</v>
      </c>
      <c r="AC98" s="53"/>
      <c r="AD98" s="275">
        <v>150000</v>
      </c>
      <c r="AE98" s="275">
        <v>250000</v>
      </c>
      <c r="AF98" s="275">
        <v>1600000</v>
      </c>
      <c r="AG98" s="53"/>
      <c r="AH98" s="47"/>
      <c r="AI98" s="53">
        <f t="shared" si="25"/>
        <v>2000000</v>
      </c>
      <c r="AJ98" s="51"/>
      <c r="AK98" s="218">
        <f t="shared" si="19"/>
        <v>-200000</v>
      </c>
    </row>
    <row r="99" spans="1:37" s="36" customFormat="1" ht="15.75" x14ac:dyDescent="0.25">
      <c r="A99" s="113" t="s">
        <v>593</v>
      </c>
      <c r="B99" s="186" t="s">
        <v>596</v>
      </c>
      <c r="C99" s="52" t="s">
        <v>568</v>
      </c>
      <c r="D99" s="52" t="s">
        <v>401</v>
      </c>
      <c r="E99" s="113" t="s">
        <v>695</v>
      </c>
      <c r="F99" s="52" t="s">
        <v>623</v>
      </c>
      <c r="G99" s="52"/>
      <c r="H99" s="347">
        <v>44488</v>
      </c>
      <c r="I99" s="52">
        <v>44501</v>
      </c>
      <c r="J99" s="50">
        <f t="shared" si="23"/>
        <v>13</v>
      </c>
      <c r="K99" s="52" t="s">
        <v>320</v>
      </c>
      <c r="L99" s="52">
        <v>44515</v>
      </c>
      <c r="M99" s="52"/>
      <c r="N99" s="52">
        <v>44713</v>
      </c>
      <c r="O99" s="50">
        <f t="shared" si="24"/>
        <v>-1478.9036544850501</v>
      </c>
      <c r="P99" s="50"/>
      <c r="Q99" s="50"/>
      <c r="R99" s="53">
        <v>1325000</v>
      </c>
      <c r="S99" s="115">
        <v>0</v>
      </c>
      <c r="T99" s="115">
        <v>0</v>
      </c>
      <c r="U99" s="115">
        <v>0</v>
      </c>
      <c r="V99" s="115">
        <v>0</v>
      </c>
      <c r="W99" s="115">
        <v>0</v>
      </c>
      <c r="X99" s="115">
        <v>0</v>
      </c>
      <c r="Y99" s="115">
        <v>0</v>
      </c>
      <c r="Z99" s="115">
        <v>0</v>
      </c>
      <c r="AA99" s="115">
        <v>0</v>
      </c>
      <c r="AB99" s="115">
        <v>0</v>
      </c>
      <c r="AC99" s="53"/>
      <c r="AD99" s="53"/>
      <c r="AE99" s="275">
        <v>100000</v>
      </c>
      <c r="AF99" s="275">
        <v>1225000</v>
      </c>
      <c r="AG99" s="53"/>
      <c r="AH99" s="47"/>
      <c r="AI99" s="53">
        <f t="shared" si="25"/>
        <v>1325000</v>
      </c>
      <c r="AJ99" s="51"/>
      <c r="AK99" s="218">
        <f t="shared" si="19"/>
        <v>0</v>
      </c>
    </row>
    <row r="100" spans="1:37" s="36" customFormat="1" ht="15.75" x14ac:dyDescent="0.25">
      <c r="A100" s="113" t="s">
        <v>591</v>
      </c>
      <c r="B100" s="35" t="s">
        <v>592</v>
      </c>
      <c r="C100" s="52" t="s">
        <v>45</v>
      </c>
      <c r="D100" s="52" t="s">
        <v>45</v>
      </c>
      <c r="E100" s="35" t="s">
        <v>698</v>
      </c>
      <c r="F100" s="52" t="s">
        <v>623</v>
      </c>
      <c r="G100" s="52"/>
      <c r="H100" s="52">
        <v>44531</v>
      </c>
      <c r="I100" s="52">
        <v>44576</v>
      </c>
      <c r="J100" s="50">
        <f t="shared" si="23"/>
        <v>45</v>
      </c>
      <c r="K100" s="52" t="s">
        <v>320</v>
      </c>
      <c r="L100" s="52">
        <f t="shared" si="26"/>
        <v>44606</v>
      </c>
      <c r="M100" s="52"/>
      <c r="N100" s="52"/>
      <c r="O100" s="50">
        <f t="shared" si="24"/>
        <v>-1481.9269102990036</v>
      </c>
      <c r="P100" s="50"/>
      <c r="Q100" s="50"/>
      <c r="R100" s="53">
        <v>400000</v>
      </c>
      <c r="S100" s="115">
        <v>0</v>
      </c>
      <c r="T100" s="115">
        <v>0</v>
      </c>
      <c r="U100" s="115">
        <v>0</v>
      </c>
      <c r="V100" s="115">
        <v>0</v>
      </c>
      <c r="W100" s="115">
        <v>0</v>
      </c>
      <c r="X100" s="115">
        <v>0</v>
      </c>
      <c r="Y100" s="115">
        <v>0</v>
      </c>
      <c r="Z100" s="115">
        <v>0</v>
      </c>
      <c r="AA100" s="115">
        <v>0</v>
      </c>
      <c r="AB100" s="115">
        <v>0</v>
      </c>
      <c r="AC100" s="53"/>
      <c r="AD100" s="275">
        <v>50000</v>
      </c>
      <c r="AE100" s="275">
        <v>100000</v>
      </c>
      <c r="AF100" s="275">
        <v>250000</v>
      </c>
      <c r="AG100" s="58"/>
      <c r="AH100" s="47"/>
      <c r="AI100" s="53">
        <f t="shared" si="25"/>
        <v>400000</v>
      </c>
      <c r="AJ100" s="51"/>
      <c r="AK100" s="218">
        <f t="shared" si="19"/>
        <v>0</v>
      </c>
    </row>
    <row r="101" spans="1:37" s="36" customFormat="1" ht="15.75" x14ac:dyDescent="0.25">
      <c r="A101" s="113" t="s">
        <v>586</v>
      </c>
      <c r="B101" s="35" t="s">
        <v>587</v>
      </c>
      <c r="C101" s="52" t="s">
        <v>45</v>
      </c>
      <c r="D101" s="52" t="s">
        <v>45</v>
      </c>
      <c r="E101" s="35"/>
      <c r="F101" s="52" t="s">
        <v>623</v>
      </c>
      <c r="G101" s="52"/>
      <c r="H101" s="52">
        <v>44564</v>
      </c>
      <c r="I101" s="52">
        <v>44607</v>
      </c>
      <c r="J101" s="50">
        <f t="shared" si="23"/>
        <v>43</v>
      </c>
      <c r="K101" s="52" t="s">
        <v>320</v>
      </c>
      <c r="L101" s="52">
        <f t="shared" si="26"/>
        <v>44637</v>
      </c>
      <c r="M101" s="52"/>
      <c r="N101" s="52"/>
      <c r="O101" s="50">
        <f t="shared" si="24"/>
        <v>-1482.9568106312292</v>
      </c>
      <c r="P101" s="50"/>
      <c r="Q101" s="50"/>
      <c r="R101" s="58">
        <f>2177500-500000</f>
        <v>1677500</v>
      </c>
      <c r="S101" s="115">
        <v>0</v>
      </c>
      <c r="T101" s="115">
        <v>0</v>
      </c>
      <c r="U101" s="115">
        <v>0</v>
      </c>
      <c r="V101" s="115">
        <v>0</v>
      </c>
      <c r="W101" s="115">
        <v>0</v>
      </c>
      <c r="X101" s="115">
        <v>0</v>
      </c>
      <c r="Y101" s="115">
        <v>0</v>
      </c>
      <c r="Z101" s="115">
        <v>0</v>
      </c>
      <c r="AA101" s="115">
        <v>0</v>
      </c>
      <c r="AB101" s="115">
        <v>0</v>
      </c>
      <c r="AC101" s="53"/>
      <c r="AD101" s="53"/>
      <c r="AE101" s="53"/>
      <c r="AF101" s="275">
        <v>1677500</v>
      </c>
      <c r="AG101" s="53"/>
      <c r="AH101" s="47"/>
      <c r="AI101" s="53">
        <f t="shared" si="25"/>
        <v>1677500</v>
      </c>
      <c r="AJ101" s="51"/>
      <c r="AK101" s="218">
        <f t="shared" si="19"/>
        <v>0</v>
      </c>
    </row>
    <row r="102" spans="1:37" s="36" customFormat="1" ht="15.75" x14ac:dyDescent="0.25">
      <c r="A102" s="354" t="s">
        <v>589</v>
      </c>
      <c r="B102" s="355" t="s">
        <v>590</v>
      </c>
      <c r="C102" s="347" t="s">
        <v>45</v>
      </c>
      <c r="D102" s="347" t="s">
        <v>45</v>
      </c>
      <c r="E102" s="355"/>
      <c r="F102" s="347" t="s">
        <v>623</v>
      </c>
      <c r="G102" s="347"/>
      <c r="H102" s="347">
        <v>44564</v>
      </c>
      <c r="I102" s="347">
        <v>44607</v>
      </c>
      <c r="J102" s="356">
        <f t="shared" si="23"/>
        <v>43</v>
      </c>
      <c r="K102" s="347" t="s">
        <v>320</v>
      </c>
      <c r="L102" s="347">
        <f t="shared" si="26"/>
        <v>44637</v>
      </c>
      <c r="M102" s="347"/>
      <c r="N102" s="347"/>
      <c r="O102" s="356">
        <f t="shared" si="24"/>
        <v>-1482.9568106312292</v>
      </c>
      <c r="P102" s="356"/>
      <c r="Q102" s="356"/>
      <c r="R102" s="210"/>
      <c r="S102" s="115">
        <v>0</v>
      </c>
      <c r="T102" s="115">
        <v>0</v>
      </c>
      <c r="U102" s="115">
        <v>0</v>
      </c>
      <c r="V102" s="115">
        <v>0</v>
      </c>
      <c r="W102" s="115">
        <v>0</v>
      </c>
      <c r="X102" s="115">
        <v>0</v>
      </c>
      <c r="Y102" s="115">
        <v>0</v>
      </c>
      <c r="Z102" s="115">
        <v>0</v>
      </c>
      <c r="AA102" s="115">
        <v>0</v>
      </c>
      <c r="AB102" s="115">
        <v>0</v>
      </c>
      <c r="AC102" s="53"/>
      <c r="AD102" s="53"/>
      <c r="AE102" s="53"/>
      <c r="AF102" s="275">
        <v>753000</v>
      </c>
      <c r="AG102" s="53"/>
      <c r="AH102" s="47"/>
      <c r="AI102" s="53">
        <f t="shared" si="25"/>
        <v>753000</v>
      </c>
      <c r="AJ102" s="51"/>
      <c r="AK102" s="218">
        <f t="shared" si="19"/>
        <v>753000</v>
      </c>
    </row>
    <row r="103" spans="1:37" s="36" customFormat="1" ht="15.75" x14ac:dyDescent="0.25">
      <c r="A103" s="113" t="s">
        <v>583</v>
      </c>
      <c r="B103" s="35" t="s">
        <v>588</v>
      </c>
      <c r="C103" s="52" t="s">
        <v>45</v>
      </c>
      <c r="D103" s="52" t="s">
        <v>45</v>
      </c>
      <c r="E103" s="35"/>
      <c r="F103" s="52" t="s">
        <v>623</v>
      </c>
      <c r="G103" s="52"/>
      <c r="H103" s="52">
        <v>44564</v>
      </c>
      <c r="I103" s="52">
        <v>44607</v>
      </c>
      <c r="J103" s="50">
        <f t="shared" si="23"/>
        <v>43</v>
      </c>
      <c r="K103" s="52" t="s">
        <v>320</v>
      </c>
      <c r="L103" s="52">
        <f t="shared" si="26"/>
        <v>44637</v>
      </c>
      <c r="M103" s="52"/>
      <c r="N103" s="52"/>
      <c r="O103" s="50">
        <f t="shared" si="24"/>
        <v>-1482.9568106312292</v>
      </c>
      <c r="P103" s="50"/>
      <c r="Q103" s="50"/>
      <c r="R103" s="53">
        <v>500000</v>
      </c>
      <c r="S103" s="115">
        <v>0</v>
      </c>
      <c r="T103" s="115">
        <v>0</v>
      </c>
      <c r="U103" s="115">
        <v>0</v>
      </c>
      <c r="V103" s="115">
        <v>0</v>
      </c>
      <c r="W103" s="115">
        <v>0</v>
      </c>
      <c r="X103" s="115">
        <v>0</v>
      </c>
      <c r="Y103" s="115">
        <v>0</v>
      </c>
      <c r="Z103" s="115">
        <v>0</v>
      </c>
      <c r="AA103" s="115">
        <v>0</v>
      </c>
      <c r="AB103" s="115">
        <v>0</v>
      </c>
      <c r="AC103" s="53"/>
      <c r="AD103" s="53"/>
      <c r="AE103" s="53"/>
      <c r="AF103" s="275">
        <v>500000</v>
      </c>
      <c r="AG103" s="53"/>
      <c r="AH103" s="47"/>
      <c r="AI103" s="53">
        <f t="shared" si="25"/>
        <v>500000</v>
      </c>
      <c r="AJ103" s="51"/>
      <c r="AK103" s="218">
        <f t="shared" si="19"/>
        <v>0</v>
      </c>
    </row>
    <row r="104" spans="1:37" s="36" customFormat="1" ht="15.75" x14ac:dyDescent="0.25">
      <c r="A104" s="113" t="s">
        <v>584</v>
      </c>
      <c r="B104" s="35" t="s">
        <v>585</v>
      </c>
      <c r="C104" s="52" t="s">
        <v>45</v>
      </c>
      <c r="D104" s="52" t="s">
        <v>45</v>
      </c>
      <c r="E104" s="35"/>
      <c r="F104" s="52" t="s">
        <v>623</v>
      </c>
      <c r="G104" s="52"/>
      <c r="H104" s="52">
        <v>44564</v>
      </c>
      <c r="I104" s="52">
        <v>44607</v>
      </c>
      <c r="J104" s="50">
        <f t="shared" si="23"/>
        <v>43</v>
      </c>
      <c r="K104" s="52" t="s">
        <v>320</v>
      </c>
      <c r="L104" s="52">
        <f t="shared" si="26"/>
        <v>44637</v>
      </c>
      <c r="M104" s="52"/>
      <c r="N104" s="52"/>
      <c r="O104" s="50">
        <f t="shared" si="24"/>
        <v>-1482.9568106312292</v>
      </c>
      <c r="P104" s="50"/>
      <c r="Q104" s="50"/>
      <c r="R104" s="53">
        <v>650000</v>
      </c>
      <c r="S104" s="115">
        <v>0</v>
      </c>
      <c r="T104" s="115">
        <v>0</v>
      </c>
      <c r="U104" s="115">
        <v>0</v>
      </c>
      <c r="V104" s="115">
        <v>0</v>
      </c>
      <c r="W104" s="115">
        <v>0</v>
      </c>
      <c r="X104" s="115">
        <v>0</v>
      </c>
      <c r="Y104" s="115">
        <v>0</v>
      </c>
      <c r="Z104" s="115">
        <v>0</v>
      </c>
      <c r="AA104" s="115">
        <v>0</v>
      </c>
      <c r="AB104" s="115">
        <v>0</v>
      </c>
      <c r="AC104" s="53"/>
      <c r="AD104" s="53"/>
      <c r="AE104" s="53"/>
      <c r="AF104" s="275">
        <v>450000</v>
      </c>
      <c r="AG104" s="53"/>
      <c r="AH104" s="47"/>
      <c r="AI104" s="53">
        <f t="shared" si="25"/>
        <v>450000</v>
      </c>
      <c r="AJ104" s="51"/>
      <c r="AK104" s="218">
        <f t="shared" si="19"/>
        <v>-200000</v>
      </c>
    </row>
    <row r="105" spans="1:37" s="36" customFormat="1" ht="15.75" x14ac:dyDescent="0.25">
      <c r="A105" s="113" t="s">
        <v>714</v>
      </c>
      <c r="B105" s="35" t="s">
        <v>715</v>
      </c>
      <c r="C105" s="52" t="s">
        <v>45</v>
      </c>
      <c r="D105" s="52" t="s">
        <v>45</v>
      </c>
      <c r="E105" s="35"/>
      <c r="F105" s="52" t="s">
        <v>623</v>
      </c>
      <c r="G105" s="52"/>
      <c r="H105" s="52">
        <v>44564</v>
      </c>
      <c r="I105" s="52">
        <v>44607</v>
      </c>
      <c r="J105" s="50">
        <f t="shared" si="23"/>
        <v>43</v>
      </c>
      <c r="K105" s="52" t="s">
        <v>320</v>
      </c>
      <c r="L105" s="52">
        <f t="shared" si="26"/>
        <v>44637</v>
      </c>
      <c r="M105" s="52"/>
      <c r="N105" s="52"/>
      <c r="O105" s="50"/>
      <c r="P105" s="50"/>
      <c r="Q105" s="50"/>
      <c r="R105" s="53"/>
      <c r="S105" s="115">
        <v>0</v>
      </c>
      <c r="T105" s="115">
        <v>0</v>
      </c>
      <c r="U105" s="115">
        <v>0</v>
      </c>
      <c r="V105" s="115">
        <v>0</v>
      </c>
      <c r="W105" s="115">
        <v>0</v>
      </c>
      <c r="X105" s="115">
        <v>0</v>
      </c>
      <c r="Y105" s="115">
        <v>0</v>
      </c>
      <c r="Z105" s="115">
        <v>0</v>
      </c>
      <c r="AA105" s="115">
        <v>0</v>
      </c>
      <c r="AB105" s="115">
        <v>0</v>
      </c>
      <c r="AC105" s="53"/>
      <c r="AD105" s="53"/>
      <c r="AE105" s="53"/>
      <c r="AF105" s="275"/>
      <c r="AG105" s="53"/>
      <c r="AH105" s="47"/>
      <c r="AI105" s="53"/>
      <c r="AJ105" s="51"/>
      <c r="AK105" s="218">
        <f t="shared" si="19"/>
        <v>0</v>
      </c>
    </row>
    <row r="106" spans="1:37" s="36" customFormat="1" ht="15.75" x14ac:dyDescent="0.25">
      <c r="A106" s="113" t="s">
        <v>716</v>
      </c>
      <c r="B106" s="35" t="s">
        <v>699</v>
      </c>
      <c r="C106" s="52" t="s">
        <v>165</v>
      </c>
      <c r="D106" s="52" t="s">
        <v>165</v>
      </c>
      <c r="E106" s="105" t="s">
        <v>700</v>
      </c>
      <c r="F106" s="52" t="s">
        <v>623</v>
      </c>
      <c r="G106" s="52"/>
      <c r="H106" s="52">
        <v>44564</v>
      </c>
      <c r="I106" s="52">
        <v>44607</v>
      </c>
      <c r="J106" s="50">
        <f t="shared" si="23"/>
        <v>43</v>
      </c>
      <c r="K106" s="52" t="s">
        <v>320</v>
      </c>
      <c r="L106" s="52">
        <f t="shared" si="26"/>
        <v>44637</v>
      </c>
      <c r="M106" s="52"/>
      <c r="N106" s="52"/>
      <c r="O106" s="50">
        <f>((M106-L106)/7)/4.3</f>
        <v>-1482.9568106312292</v>
      </c>
      <c r="P106" s="50"/>
      <c r="Q106" s="50"/>
      <c r="R106" s="53">
        <v>350000</v>
      </c>
      <c r="S106" s="115">
        <v>0</v>
      </c>
      <c r="T106" s="115">
        <v>0</v>
      </c>
      <c r="U106" s="115">
        <v>0</v>
      </c>
      <c r="V106" s="115">
        <v>0</v>
      </c>
      <c r="W106" s="115">
        <v>0</v>
      </c>
      <c r="X106" s="115">
        <v>0</v>
      </c>
      <c r="Y106" s="115">
        <v>0</v>
      </c>
      <c r="Z106" s="115">
        <v>0</v>
      </c>
      <c r="AA106" s="115">
        <v>0</v>
      </c>
      <c r="AB106" s="115">
        <v>0</v>
      </c>
      <c r="AC106" s="53"/>
      <c r="AD106" s="275">
        <v>50000</v>
      </c>
      <c r="AE106" s="275">
        <v>100000</v>
      </c>
      <c r="AF106" s="275">
        <v>200000</v>
      </c>
      <c r="AG106" s="53"/>
      <c r="AH106" s="47"/>
      <c r="AI106" s="53">
        <f>SUM(S106:AH106)</f>
        <v>350000</v>
      </c>
      <c r="AJ106" s="51"/>
      <c r="AK106" s="218">
        <f t="shared" si="19"/>
        <v>0</v>
      </c>
    </row>
    <row r="107" spans="1:37" s="36" customFormat="1" ht="15.75" x14ac:dyDescent="0.25">
      <c r="A107" s="113" t="s">
        <v>717</v>
      </c>
      <c r="B107" s="35" t="s">
        <v>524</v>
      </c>
      <c r="C107" s="52" t="s">
        <v>45</v>
      </c>
      <c r="D107" s="52" t="s">
        <v>45</v>
      </c>
      <c r="E107" s="35" t="s">
        <v>522</v>
      </c>
      <c r="F107" s="52" t="s">
        <v>623</v>
      </c>
      <c r="G107" s="52"/>
      <c r="H107" s="52">
        <v>44564</v>
      </c>
      <c r="I107" s="52">
        <v>44607</v>
      </c>
      <c r="J107" s="50">
        <f t="shared" si="23"/>
        <v>43</v>
      </c>
      <c r="K107" s="52" t="s">
        <v>320</v>
      </c>
      <c r="L107" s="52">
        <f t="shared" si="26"/>
        <v>44637</v>
      </c>
      <c r="M107" s="52"/>
      <c r="N107" s="52"/>
      <c r="O107" s="50">
        <f>((M107-L107)/7)/4.3</f>
        <v>-1482.9568106312292</v>
      </c>
      <c r="P107" s="50"/>
      <c r="Q107" s="50"/>
      <c r="R107" s="53">
        <v>4000000</v>
      </c>
      <c r="S107" s="115">
        <v>0</v>
      </c>
      <c r="T107" s="115">
        <v>0</v>
      </c>
      <c r="U107" s="115">
        <v>0</v>
      </c>
      <c r="V107" s="115">
        <v>0</v>
      </c>
      <c r="W107" s="115">
        <v>0</v>
      </c>
      <c r="X107" s="115">
        <v>0</v>
      </c>
      <c r="Y107" s="115">
        <v>0</v>
      </c>
      <c r="Z107" s="115">
        <v>0</v>
      </c>
      <c r="AA107" s="115">
        <v>0</v>
      </c>
      <c r="AB107" s="115">
        <v>0</v>
      </c>
      <c r="AC107" s="53"/>
      <c r="AD107" s="53"/>
      <c r="AE107" s="53"/>
      <c r="AF107" s="275">
        <v>3000000</v>
      </c>
      <c r="AG107" s="53"/>
      <c r="AH107" s="47"/>
      <c r="AI107" s="53">
        <f>SUM(S107:AH107)</f>
        <v>3000000</v>
      </c>
      <c r="AJ107" s="51"/>
      <c r="AK107" s="218">
        <f t="shared" si="19"/>
        <v>-1000000</v>
      </c>
    </row>
    <row r="108" spans="1:37" s="36" customFormat="1" ht="15.75" x14ac:dyDescent="0.25">
      <c r="A108" s="113" t="s">
        <v>718</v>
      </c>
      <c r="B108" s="35" t="s">
        <v>660</v>
      </c>
      <c r="C108" s="52" t="s">
        <v>45</v>
      </c>
      <c r="D108" s="52" t="s">
        <v>45</v>
      </c>
      <c r="E108" s="35"/>
      <c r="F108" s="52" t="s">
        <v>623</v>
      </c>
      <c r="G108" s="52"/>
      <c r="H108" s="52">
        <v>44564</v>
      </c>
      <c r="I108" s="52">
        <v>44607</v>
      </c>
      <c r="J108" s="50">
        <f t="shared" si="23"/>
        <v>43</v>
      </c>
      <c r="K108" s="52" t="s">
        <v>320</v>
      </c>
      <c r="L108" s="52">
        <v>44593</v>
      </c>
      <c r="M108" s="52"/>
      <c r="N108" s="52"/>
      <c r="O108" s="50">
        <f>((M108-L108)/7)/4.3</f>
        <v>-1481.4950166112958</v>
      </c>
      <c r="P108" s="50"/>
      <c r="Q108" s="50"/>
      <c r="R108" s="53">
        <v>680000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53"/>
      <c r="AD108" s="53"/>
      <c r="AE108" s="53"/>
      <c r="AF108" s="275">
        <v>680000</v>
      </c>
      <c r="AG108" s="53"/>
      <c r="AH108" s="47"/>
      <c r="AI108" s="53">
        <f>SUM(S108:AH108)</f>
        <v>680000</v>
      </c>
      <c r="AJ108" s="51"/>
      <c r="AK108" s="218">
        <f t="shared" si="19"/>
        <v>0</v>
      </c>
    </row>
    <row r="109" spans="1:37" s="36" customFormat="1" ht="15.75" x14ac:dyDescent="0.25">
      <c r="A109" s="113" t="s">
        <v>719</v>
      </c>
      <c r="B109" s="35" t="s">
        <v>661</v>
      </c>
      <c r="C109" s="52" t="s">
        <v>45</v>
      </c>
      <c r="D109" s="52" t="s">
        <v>45</v>
      </c>
      <c r="E109" s="35"/>
      <c r="F109" s="52" t="s">
        <v>623</v>
      </c>
      <c r="G109" s="52"/>
      <c r="H109" s="52">
        <v>44564</v>
      </c>
      <c r="I109" s="52">
        <v>44607</v>
      </c>
      <c r="J109" s="50">
        <f t="shared" si="23"/>
        <v>43</v>
      </c>
      <c r="K109" s="52" t="s">
        <v>320</v>
      </c>
      <c r="L109" s="52">
        <v>44593</v>
      </c>
      <c r="M109" s="52"/>
      <c r="N109" s="52">
        <v>44774</v>
      </c>
      <c r="O109" s="50">
        <f>((M109-L109)/7)/4.3</f>
        <v>-1481.4950166112958</v>
      </c>
      <c r="P109" s="50"/>
      <c r="Q109" s="50"/>
      <c r="R109" s="53">
        <f>2860000-680000</f>
        <v>2180000</v>
      </c>
      <c r="S109" s="115">
        <v>0</v>
      </c>
      <c r="T109" s="115">
        <v>0</v>
      </c>
      <c r="U109" s="115">
        <v>0</v>
      </c>
      <c r="V109" s="115">
        <v>0</v>
      </c>
      <c r="W109" s="115">
        <v>0</v>
      </c>
      <c r="X109" s="115">
        <v>0</v>
      </c>
      <c r="Y109" s="115">
        <v>0</v>
      </c>
      <c r="Z109" s="115">
        <v>0</v>
      </c>
      <c r="AA109" s="115">
        <v>0</v>
      </c>
      <c r="AB109" s="115">
        <v>0</v>
      </c>
      <c r="AC109" s="53"/>
      <c r="AD109" s="53"/>
      <c r="AE109" s="53"/>
      <c r="AF109" s="275">
        <v>2180000</v>
      </c>
      <c r="AG109" s="53"/>
      <c r="AH109" s="47"/>
      <c r="AI109" s="53">
        <f>SUM(S109:AH109)</f>
        <v>2180000</v>
      </c>
      <c r="AJ109" s="51"/>
      <c r="AK109" s="218">
        <f t="shared" si="19"/>
        <v>0</v>
      </c>
    </row>
    <row r="110" spans="1:37" s="36" customFormat="1" ht="15.75" x14ac:dyDescent="0.25">
      <c r="A110" s="113" t="s">
        <v>720</v>
      </c>
      <c r="B110" s="35" t="s">
        <v>721</v>
      </c>
      <c r="C110" s="52" t="s">
        <v>45</v>
      </c>
      <c r="D110" s="52" t="s">
        <v>45</v>
      </c>
      <c r="E110" s="35"/>
      <c r="F110" s="52" t="s">
        <v>623</v>
      </c>
      <c r="G110" s="52"/>
      <c r="H110" s="52">
        <v>44564</v>
      </c>
      <c r="I110" s="52">
        <v>44607</v>
      </c>
      <c r="J110" s="50">
        <f t="shared" si="23"/>
        <v>43</v>
      </c>
      <c r="K110" s="52" t="s">
        <v>320</v>
      </c>
      <c r="L110" s="52">
        <f t="shared" si="26"/>
        <v>44637</v>
      </c>
      <c r="M110" s="52"/>
      <c r="N110" s="52"/>
      <c r="O110" s="50"/>
      <c r="P110" s="50"/>
      <c r="Q110" s="50"/>
      <c r="R110" s="53"/>
      <c r="S110" s="115">
        <v>0</v>
      </c>
      <c r="T110" s="115">
        <v>0</v>
      </c>
      <c r="U110" s="115">
        <v>0</v>
      </c>
      <c r="V110" s="115">
        <v>0</v>
      </c>
      <c r="W110" s="115">
        <v>0</v>
      </c>
      <c r="X110" s="115">
        <v>0</v>
      </c>
      <c r="Y110" s="115">
        <v>0</v>
      </c>
      <c r="Z110" s="115">
        <v>0</v>
      </c>
      <c r="AA110" s="115">
        <v>0</v>
      </c>
      <c r="AB110" s="115">
        <v>0</v>
      </c>
      <c r="AC110" s="53"/>
      <c r="AD110" s="53"/>
      <c r="AE110" s="53"/>
      <c r="AF110" s="275"/>
      <c r="AG110" s="53"/>
      <c r="AH110" s="47"/>
      <c r="AI110" s="53"/>
      <c r="AJ110" s="51"/>
      <c r="AK110" s="218">
        <f t="shared" si="19"/>
        <v>0</v>
      </c>
    </row>
    <row r="111" spans="1:37" s="36" customFormat="1" ht="15.75" x14ac:dyDescent="0.25">
      <c r="A111" s="113" t="s">
        <v>722</v>
      </c>
      <c r="B111" s="35" t="s">
        <v>723</v>
      </c>
      <c r="C111" s="52" t="s">
        <v>45</v>
      </c>
      <c r="D111" s="52" t="s">
        <v>45</v>
      </c>
      <c r="E111" s="35"/>
      <c r="F111" s="52" t="s">
        <v>623</v>
      </c>
      <c r="G111" s="52"/>
      <c r="H111" s="52">
        <v>44501</v>
      </c>
      <c r="I111" s="52">
        <v>44531</v>
      </c>
      <c r="J111" s="50">
        <f>I111-H111</f>
        <v>30</v>
      </c>
      <c r="K111" s="52" t="s">
        <v>320</v>
      </c>
      <c r="L111" s="52">
        <v>44592</v>
      </c>
      <c r="M111" s="52"/>
      <c r="N111" s="52"/>
      <c r="O111" s="50">
        <f>((M111-L111)/7)/4.3</f>
        <v>-1481.4617940199337</v>
      </c>
      <c r="P111" s="50"/>
      <c r="Q111" s="50"/>
      <c r="R111" s="53">
        <v>350000</v>
      </c>
      <c r="S111" s="115">
        <v>0</v>
      </c>
      <c r="T111" s="115">
        <v>0</v>
      </c>
      <c r="U111" s="115">
        <v>0</v>
      </c>
      <c r="V111" s="115">
        <v>0</v>
      </c>
      <c r="W111" s="115">
        <v>0</v>
      </c>
      <c r="X111" s="115">
        <v>0</v>
      </c>
      <c r="Y111" s="115">
        <v>0</v>
      </c>
      <c r="Z111" s="115">
        <v>0</v>
      </c>
      <c r="AA111" s="115">
        <v>0</v>
      </c>
      <c r="AB111" s="115">
        <v>0</v>
      </c>
      <c r="AC111" s="53"/>
      <c r="AD111" s="53"/>
      <c r="AE111" s="53"/>
      <c r="AF111" s="58"/>
      <c r="AG111" s="53"/>
      <c r="AH111" s="47"/>
      <c r="AI111" s="53">
        <f>SUM(S111:AH111)</f>
        <v>0</v>
      </c>
      <c r="AJ111" s="51"/>
      <c r="AK111" s="218">
        <f t="shared" si="19"/>
        <v>-350000</v>
      </c>
    </row>
    <row r="112" spans="1:37" s="36" customFormat="1" ht="15.75" x14ac:dyDescent="0.25">
      <c r="A112" s="113" t="s">
        <v>724</v>
      </c>
      <c r="B112" s="114" t="s">
        <v>654</v>
      </c>
      <c r="C112" s="52" t="s">
        <v>45</v>
      </c>
      <c r="D112" s="52" t="s">
        <v>45</v>
      </c>
      <c r="E112" s="35"/>
      <c r="F112" s="52" t="s">
        <v>623</v>
      </c>
      <c r="G112" s="52"/>
      <c r="H112" s="87">
        <v>44512</v>
      </c>
      <c r="I112" s="52">
        <v>44500</v>
      </c>
      <c r="J112" s="50">
        <f>I112-H112</f>
        <v>-12</v>
      </c>
      <c r="K112" s="52" t="s">
        <v>320</v>
      </c>
      <c r="L112" s="52">
        <v>44256</v>
      </c>
      <c r="M112" s="52"/>
      <c r="N112" s="52"/>
      <c r="O112" s="50">
        <f>((M112-L112)/7)/4.3</f>
        <v>-1470.2990033222593</v>
      </c>
      <c r="P112" s="50"/>
      <c r="Q112" s="50"/>
      <c r="R112" s="53">
        <v>1500000</v>
      </c>
      <c r="S112" s="115">
        <v>0</v>
      </c>
      <c r="T112" s="115">
        <v>0</v>
      </c>
      <c r="U112" s="115">
        <v>0</v>
      </c>
      <c r="V112" s="115">
        <v>0</v>
      </c>
      <c r="W112" s="115">
        <v>0</v>
      </c>
      <c r="X112" s="115">
        <v>0</v>
      </c>
      <c r="Y112" s="115">
        <v>0</v>
      </c>
      <c r="Z112" s="115">
        <v>0</v>
      </c>
      <c r="AA112" s="115">
        <v>0</v>
      </c>
      <c r="AB112" s="115">
        <v>0</v>
      </c>
      <c r="AC112" s="53"/>
      <c r="AD112" s="53"/>
      <c r="AE112" s="53"/>
      <c r="AF112" s="275">
        <v>1225500</v>
      </c>
      <c r="AG112" s="53"/>
      <c r="AH112" s="47"/>
      <c r="AI112" s="53">
        <f>SUM(S112:AH112)</f>
        <v>1225500</v>
      </c>
      <c r="AJ112" s="51"/>
      <c r="AK112" s="218">
        <f t="shared" si="19"/>
        <v>-274500</v>
      </c>
    </row>
    <row r="113" spans="1:37" s="36" customFormat="1" ht="15.75" x14ac:dyDescent="0.25">
      <c r="A113" s="113" t="s">
        <v>725</v>
      </c>
      <c r="B113" s="114" t="s">
        <v>663</v>
      </c>
      <c r="C113" s="52" t="s">
        <v>45</v>
      </c>
      <c r="D113" s="52" t="s">
        <v>45</v>
      </c>
      <c r="E113" s="35"/>
      <c r="F113" s="52" t="s">
        <v>623</v>
      </c>
      <c r="G113" s="52"/>
      <c r="H113" s="87">
        <v>44526</v>
      </c>
      <c r="I113" s="52">
        <v>44515</v>
      </c>
      <c r="J113" s="50">
        <f>I113-H113</f>
        <v>-11</v>
      </c>
      <c r="K113" s="52" t="s">
        <v>320</v>
      </c>
      <c r="L113" s="52">
        <v>44621</v>
      </c>
      <c r="M113" s="52"/>
      <c r="N113" s="52"/>
      <c r="O113" s="50">
        <f>((M113-L113)/7)/4.3</f>
        <v>-1482.4252491694353</v>
      </c>
      <c r="P113" s="50"/>
      <c r="Q113" s="50"/>
      <c r="R113" s="53">
        <v>350000</v>
      </c>
      <c r="S113" s="115">
        <v>0</v>
      </c>
      <c r="T113" s="115">
        <v>0</v>
      </c>
      <c r="U113" s="115">
        <v>0</v>
      </c>
      <c r="V113" s="115">
        <v>0</v>
      </c>
      <c r="W113" s="115">
        <v>0</v>
      </c>
      <c r="X113" s="115">
        <v>0</v>
      </c>
      <c r="Y113" s="115">
        <v>0</v>
      </c>
      <c r="Z113" s="115">
        <v>0</v>
      </c>
      <c r="AA113" s="115">
        <v>0</v>
      </c>
      <c r="AB113" s="115">
        <v>0</v>
      </c>
      <c r="AC113" s="53"/>
      <c r="AD113" s="53"/>
      <c r="AE113" s="53"/>
      <c r="AF113" s="275">
        <v>250000</v>
      </c>
      <c r="AG113" s="53"/>
      <c r="AH113" s="47"/>
      <c r="AI113" s="53">
        <f>SUM(S113:AH113)</f>
        <v>250000</v>
      </c>
      <c r="AJ113" s="51"/>
      <c r="AK113" s="218">
        <f t="shared" si="19"/>
        <v>-100000</v>
      </c>
    </row>
    <row r="114" spans="1:37" s="36" customFormat="1" ht="15.75" x14ac:dyDescent="0.25">
      <c r="A114" s="113" t="s">
        <v>726</v>
      </c>
      <c r="B114" s="114" t="s">
        <v>662</v>
      </c>
      <c r="C114" s="52" t="s">
        <v>45</v>
      </c>
      <c r="D114" s="52" t="s">
        <v>45</v>
      </c>
      <c r="E114" s="35"/>
      <c r="F114" s="52" t="s">
        <v>623</v>
      </c>
      <c r="G114" s="52"/>
      <c r="H114" s="87">
        <v>44526</v>
      </c>
      <c r="I114" s="52">
        <v>44515</v>
      </c>
      <c r="J114" s="50">
        <f>I114-H114</f>
        <v>-11</v>
      </c>
      <c r="K114" s="52" t="s">
        <v>320</v>
      </c>
      <c r="L114" s="52">
        <v>44621</v>
      </c>
      <c r="M114" s="52"/>
      <c r="N114" s="52"/>
      <c r="O114" s="50">
        <f>((M114-L114)/7)/4.3</f>
        <v>-1482.4252491694353</v>
      </c>
      <c r="P114" s="50"/>
      <c r="Q114" s="50"/>
      <c r="R114" s="53">
        <v>450000</v>
      </c>
      <c r="S114" s="115">
        <v>0</v>
      </c>
      <c r="T114" s="115">
        <v>0</v>
      </c>
      <c r="U114" s="115">
        <v>0</v>
      </c>
      <c r="V114" s="115">
        <v>0</v>
      </c>
      <c r="W114" s="115">
        <v>0</v>
      </c>
      <c r="X114" s="115">
        <v>0</v>
      </c>
      <c r="Y114" s="115">
        <v>0</v>
      </c>
      <c r="Z114" s="115">
        <v>0</v>
      </c>
      <c r="AA114" s="115">
        <v>0</v>
      </c>
      <c r="AB114" s="115">
        <v>0</v>
      </c>
      <c r="AC114" s="53"/>
      <c r="AD114" s="53"/>
      <c r="AE114" s="53"/>
      <c r="AF114" s="275">
        <v>450000</v>
      </c>
      <c r="AG114" s="53"/>
      <c r="AH114" s="47"/>
      <c r="AI114" s="53">
        <f>SUM(S114:AH114)</f>
        <v>450000</v>
      </c>
      <c r="AJ114" s="51"/>
      <c r="AK114" s="218">
        <f t="shared" si="19"/>
        <v>0</v>
      </c>
    </row>
    <row r="115" spans="1:37" s="36" customFormat="1" ht="15.75" x14ac:dyDescent="0.25">
      <c r="A115" s="113" t="s">
        <v>727</v>
      </c>
      <c r="B115" s="35" t="s">
        <v>653</v>
      </c>
      <c r="C115" s="52" t="s">
        <v>45</v>
      </c>
      <c r="D115" s="52" t="s">
        <v>45</v>
      </c>
      <c r="E115" s="35"/>
      <c r="F115" s="52" t="s">
        <v>623</v>
      </c>
      <c r="G115" s="52"/>
      <c r="H115" s="52">
        <v>44501</v>
      </c>
      <c r="I115" s="52">
        <v>44531</v>
      </c>
      <c r="J115" s="50">
        <f>I115-H115</f>
        <v>30</v>
      </c>
      <c r="K115" s="52" t="s">
        <v>320</v>
      </c>
      <c r="L115" s="52">
        <v>44593</v>
      </c>
      <c r="M115" s="52"/>
      <c r="N115" s="52"/>
      <c r="O115" s="50">
        <f>((M115-L115)/7)/4.3</f>
        <v>-1481.4950166112958</v>
      </c>
      <c r="P115" s="50"/>
      <c r="Q115" s="50"/>
      <c r="R115" s="53">
        <v>1200000</v>
      </c>
      <c r="S115" s="115">
        <v>0</v>
      </c>
      <c r="T115" s="115">
        <v>0</v>
      </c>
      <c r="U115" s="115">
        <v>0</v>
      </c>
      <c r="V115" s="115">
        <v>0</v>
      </c>
      <c r="W115" s="115">
        <v>0</v>
      </c>
      <c r="X115" s="115">
        <v>0</v>
      </c>
      <c r="Y115" s="115">
        <v>0</v>
      </c>
      <c r="Z115" s="115">
        <v>0</v>
      </c>
      <c r="AA115" s="115">
        <v>0</v>
      </c>
      <c r="AB115" s="115">
        <v>0</v>
      </c>
      <c r="AC115" s="53"/>
      <c r="AD115" s="53"/>
      <c r="AE115" s="53"/>
      <c r="AF115" s="275">
        <v>1200000</v>
      </c>
      <c r="AG115" s="53"/>
      <c r="AH115" s="47"/>
      <c r="AI115" s="53">
        <f>SUM(S115:AH115)</f>
        <v>1200000</v>
      </c>
      <c r="AJ115" s="51"/>
      <c r="AK115" s="218">
        <f t="shared" si="19"/>
        <v>0</v>
      </c>
    </row>
    <row r="116" spans="1:37" s="36" customFormat="1" ht="15.75" x14ac:dyDescent="0.25">
      <c r="A116" s="354" t="s">
        <v>728</v>
      </c>
      <c r="B116" s="355" t="s">
        <v>731</v>
      </c>
      <c r="C116" s="347" t="s">
        <v>45</v>
      </c>
      <c r="D116" s="347" t="s">
        <v>45</v>
      </c>
      <c r="E116" s="355"/>
      <c r="F116" s="347" t="s">
        <v>623</v>
      </c>
      <c r="G116" s="347"/>
      <c r="H116" s="347">
        <v>44501</v>
      </c>
      <c r="I116" s="347">
        <v>44531</v>
      </c>
      <c r="J116" s="356">
        <f t="shared" ref="J116:J131" si="27">I116-H116</f>
        <v>30</v>
      </c>
      <c r="K116" s="347" t="s">
        <v>320</v>
      </c>
      <c r="L116" s="347">
        <f t="shared" si="26"/>
        <v>44561</v>
      </c>
      <c r="M116" s="347"/>
      <c r="N116" s="347"/>
      <c r="O116" s="356"/>
      <c r="P116" s="356"/>
      <c r="Q116" s="356"/>
      <c r="R116" s="53"/>
      <c r="S116" s="115">
        <v>0</v>
      </c>
      <c r="T116" s="115">
        <v>0</v>
      </c>
      <c r="U116" s="115">
        <v>0</v>
      </c>
      <c r="V116" s="115">
        <v>0</v>
      </c>
      <c r="W116" s="115">
        <v>0</v>
      </c>
      <c r="X116" s="115">
        <v>0</v>
      </c>
      <c r="Y116" s="115">
        <v>0</v>
      </c>
      <c r="Z116" s="115">
        <v>0</v>
      </c>
      <c r="AA116" s="115">
        <v>0</v>
      </c>
      <c r="AB116" s="115">
        <v>0</v>
      </c>
      <c r="AC116" s="53"/>
      <c r="AD116" s="53"/>
      <c r="AE116" s="53"/>
      <c r="AF116" s="275"/>
      <c r="AG116" s="53"/>
      <c r="AH116" s="47"/>
      <c r="AI116" s="53"/>
      <c r="AJ116" s="51"/>
      <c r="AK116" s="218">
        <f t="shared" si="19"/>
        <v>0</v>
      </c>
    </row>
    <row r="117" spans="1:37" s="36" customFormat="1" ht="15.75" x14ac:dyDescent="0.25">
      <c r="A117" s="113" t="s">
        <v>729</v>
      </c>
      <c r="B117" s="35" t="s">
        <v>730</v>
      </c>
      <c r="C117" s="52" t="s">
        <v>45</v>
      </c>
      <c r="D117" s="52" t="s">
        <v>45</v>
      </c>
      <c r="E117" s="35"/>
      <c r="F117" s="52" t="s">
        <v>623</v>
      </c>
      <c r="G117" s="52"/>
      <c r="H117" s="52">
        <v>44501</v>
      </c>
      <c r="I117" s="52">
        <v>44531</v>
      </c>
      <c r="J117" s="50">
        <f t="shared" si="27"/>
        <v>30</v>
      </c>
      <c r="K117" s="52" t="s">
        <v>320</v>
      </c>
      <c r="L117" s="52">
        <v>44593</v>
      </c>
      <c r="M117" s="52"/>
      <c r="N117" s="52"/>
      <c r="O117" s="50"/>
      <c r="P117" s="50"/>
      <c r="Q117" s="50"/>
      <c r="R117" s="53">
        <v>350000</v>
      </c>
      <c r="S117" s="115">
        <v>0</v>
      </c>
      <c r="T117" s="115">
        <v>0</v>
      </c>
      <c r="U117" s="115">
        <v>0</v>
      </c>
      <c r="V117" s="115">
        <v>0</v>
      </c>
      <c r="W117" s="115">
        <v>0</v>
      </c>
      <c r="X117" s="115">
        <v>0</v>
      </c>
      <c r="Y117" s="115">
        <v>0</v>
      </c>
      <c r="Z117" s="115">
        <v>0</v>
      </c>
      <c r="AA117" s="115">
        <v>0</v>
      </c>
      <c r="AB117" s="115">
        <v>0</v>
      </c>
      <c r="AC117" s="53"/>
      <c r="AD117" s="53"/>
      <c r="AE117" s="53"/>
      <c r="AF117" s="275"/>
      <c r="AG117" s="53"/>
      <c r="AH117" s="47"/>
      <c r="AI117" s="53"/>
      <c r="AJ117" s="51"/>
      <c r="AK117" s="218">
        <f t="shared" si="19"/>
        <v>-350000</v>
      </c>
    </row>
    <row r="118" spans="1:37" s="36" customFormat="1" ht="15.75" x14ac:dyDescent="0.25">
      <c r="A118" s="113" t="s">
        <v>744</v>
      </c>
      <c r="B118" s="35" t="s">
        <v>733</v>
      </c>
      <c r="C118" s="52" t="s">
        <v>45</v>
      </c>
      <c r="D118" s="52" t="s">
        <v>45</v>
      </c>
      <c r="E118" s="35"/>
      <c r="F118" s="52" t="s">
        <v>623</v>
      </c>
      <c r="G118" s="52"/>
      <c r="H118" s="52"/>
      <c r="I118" s="52"/>
      <c r="J118" s="50">
        <f t="shared" si="27"/>
        <v>0</v>
      </c>
      <c r="K118" s="52" t="s">
        <v>320</v>
      </c>
      <c r="L118" s="52">
        <v>44591</v>
      </c>
      <c r="M118" s="52"/>
      <c r="N118" s="52"/>
      <c r="O118" s="50">
        <f t="shared" ref="O118:O128" si="28">((M118-L118)/7)/4.3</f>
        <v>-1481.4285714285713</v>
      </c>
      <c r="P118" s="50"/>
      <c r="Q118" s="50"/>
      <c r="R118" s="53">
        <v>750000</v>
      </c>
      <c r="S118" s="115">
        <v>0</v>
      </c>
      <c r="T118" s="115">
        <v>0</v>
      </c>
      <c r="U118" s="115">
        <v>0</v>
      </c>
      <c r="V118" s="115">
        <v>0</v>
      </c>
      <c r="W118" s="115">
        <v>0</v>
      </c>
      <c r="X118" s="115">
        <v>0</v>
      </c>
      <c r="Y118" s="115">
        <v>0</v>
      </c>
      <c r="Z118" s="115">
        <v>0</v>
      </c>
      <c r="AA118" s="115">
        <v>0</v>
      </c>
      <c r="AB118" s="115">
        <v>0</v>
      </c>
      <c r="AC118" s="53"/>
      <c r="AD118" s="53"/>
      <c r="AE118" s="53"/>
      <c r="AF118" s="58"/>
      <c r="AG118" s="53"/>
      <c r="AH118" s="47"/>
      <c r="AI118" s="53">
        <f t="shared" ref="AI118:AI128" si="29">SUM(S118:AH118)</f>
        <v>0</v>
      </c>
      <c r="AJ118" s="51"/>
      <c r="AK118" s="218">
        <f t="shared" si="19"/>
        <v>-750000</v>
      </c>
    </row>
    <row r="119" spans="1:37" s="36" customFormat="1" ht="15.75" x14ac:dyDescent="0.25">
      <c r="A119" s="113" t="s">
        <v>734</v>
      </c>
      <c r="B119" s="35" t="s">
        <v>652</v>
      </c>
      <c r="C119" s="52" t="s">
        <v>45</v>
      </c>
      <c r="D119" s="52" t="s">
        <v>45</v>
      </c>
      <c r="E119" s="35" t="s">
        <v>701</v>
      </c>
      <c r="F119" s="52" t="s">
        <v>623</v>
      </c>
      <c r="G119" s="52"/>
      <c r="H119" s="52">
        <v>44531</v>
      </c>
      <c r="I119" s="52">
        <v>44561</v>
      </c>
      <c r="J119" s="50">
        <f t="shared" si="27"/>
        <v>30</v>
      </c>
      <c r="K119" s="52" t="s">
        <v>320</v>
      </c>
      <c r="L119" s="52">
        <f t="shared" si="26"/>
        <v>44591</v>
      </c>
      <c r="M119" s="52"/>
      <c r="N119" s="52"/>
      <c r="O119" s="50">
        <f t="shared" si="28"/>
        <v>-1481.4285714285713</v>
      </c>
      <c r="P119" s="50"/>
      <c r="Q119" s="50"/>
      <c r="R119" s="53">
        <v>750000</v>
      </c>
      <c r="S119" s="115">
        <v>0</v>
      </c>
      <c r="T119" s="115">
        <v>0</v>
      </c>
      <c r="U119" s="115">
        <v>0</v>
      </c>
      <c r="V119" s="115">
        <v>0</v>
      </c>
      <c r="W119" s="115">
        <v>0</v>
      </c>
      <c r="X119" s="115">
        <v>0</v>
      </c>
      <c r="Y119" s="115">
        <v>0</v>
      </c>
      <c r="Z119" s="115">
        <v>0</v>
      </c>
      <c r="AA119" s="115">
        <v>0</v>
      </c>
      <c r="AB119" s="115">
        <v>0</v>
      </c>
      <c r="AC119" s="53"/>
      <c r="AD119" s="53"/>
      <c r="AE119" s="53"/>
      <c r="AF119" s="275">
        <v>750000</v>
      </c>
      <c r="AG119" s="53"/>
      <c r="AH119" s="47"/>
      <c r="AI119" s="53">
        <f t="shared" si="29"/>
        <v>750000</v>
      </c>
      <c r="AJ119" s="51"/>
      <c r="AK119" s="218">
        <f t="shared" si="19"/>
        <v>0</v>
      </c>
    </row>
    <row r="120" spans="1:37" s="36" customFormat="1" ht="15.75" x14ac:dyDescent="0.25">
      <c r="A120" s="113" t="s">
        <v>475</v>
      </c>
      <c r="B120" s="35" t="s">
        <v>538</v>
      </c>
      <c r="C120" s="52" t="s">
        <v>45</v>
      </c>
      <c r="D120" s="52" t="s">
        <v>45</v>
      </c>
      <c r="E120" s="35" t="s">
        <v>539</v>
      </c>
      <c r="F120" s="52" t="s">
        <v>623</v>
      </c>
      <c r="G120" s="52"/>
      <c r="H120" s="52">
        <v>44593</v>
      </c>
      <c r="I120" s="52">
        <v>44653</v>
      </c>
      <c r="J120" s="50">
        <f t="shared" si="27"/>
        <v>60</v>
      </c>
      <c r="K120" s="52" t="s">
        <v>320</v>
      </c>
      <c r="L120" s="52">
        <f t="shared" si="26"/>
        <v>44683</v>
      </c>
      <c r="M120" s="52"/>
      <c r="N120" s="52"/>
      <c r="O120" s="50">
        <f t="shared" si="28"/>
        <v>-1484.4850498338872</v>
      </c>
      <c r="P120" s="50"/>
      <c r="Q120" s="50"/>
      <c r="R120" s="58">
        <v>14000000</v>
      </c>
      <c r="S120" s="115">
        <v>0</v>
      </c>
      <c r="T120" s="115">
        <v>0</v>
      </c>
      <c r="U120" s="115">
        <v>0</v>
      </c>
      <c r="V120" s="115">
        <v>0</v>
      </c>
      <c r="W120" s="115">
        <v>0</v>
      </c>
      <c r="X120" s="115">
        <v>0</v>
      </c>
      <c r="Y120" s="115">
        <v>0</v>
      </c>
      <c r="Z120" s="115">
        <v>0</v>
      </c>
      <c r="AA120" s="115">
        <v>0</v>
      </c>
      <c r="AB120" s="115">
        <v>0</v>
      </c>
      <c r="AC120" s="53"/>
      <c r="AD120" s="53"/>
      <c r="AE120" s="53"/>
      <c r="AF120" s="275">
        <f>14000000-3000000</f>
        <v>11000000</v>
      </c>
      <c r="AG120" s="275">
        <v>3000000</v>
      </c>
      <c r="AH120" s="47"/>
      <c r="AI120" s="53">
        <f t="shared" si="29"/>
        <v>14000000</v>
      </c>
      <c r="AJ120" s="51"/>
      <c r="AK120" s="218">
        <f t="shared" si="19"/>
        <v>0</v>
      </c>
    </row>
    <row r="121" spans="1:37" s="36" customFormat="1" ht="15.75" x14ac:dyDescent="0.25">
      <c r="A121" s="113" t="s">
        <v>475</v>
      </c>
      <c r="B121" s="35" t="s">
        <v>703</v>
      </c>
      <c r="C121" s="52" t="s">
        <v>664</v>
      </c>
      <c r="D121" s="52" t="s">
        <v>45</v>
      </c>
      <c r="E121" s="35" t="s">
        <v>702</v>
      </c>
      <c r="F121" s="52" t="s">
        <v>623</v>
      </c>
      <c r="G121" s="52"/>
      <c r="H121" s="52"/>
      <c r="I121" s="52"/>
      <c r="J121" s="50">
        <f t="shared" si="27"/>
        <v>0</v>
      </c>
      <c r="K121" s="52" t="s">
        <v>320</v>
      </c>
      <c r="L121" s="52">
        <v>44652</v>
      </c>
      <c r="M121" s="52"/>
      <c r="N121" s="52"/>
      <c r="O121" s="50">
        <f t="shared" si="28"/>
        <v>-1483.4551495016613</v>
      </c>
      <c r="P121" s="50"/>
      <c r="Q121" s="50"/>
      <c r="R121" s="53">
        <v>2400000</v>
      </c>
      <c r="S121" s="115">
        <v>0</v>
      </c>
      <c r="T121" s="115">
        <v>0</v>
      </c>
      <c r="U121" s="115">
        <v>0</v>
      </c>
      <c r="V121" s="115">
        <v>0</v>
      </c>
      <c r="W121" s="115">
        <v>0</v>
      </c>
      <c r="X121" s="115">
        <v>0</v>
      </c>
      <c r="Y121" s="115">
        <v>0</v>
      </c>
      <c r="Z121" s="115">
        <v>0</v>
      </c>
      <c r="AA121" s="115">
        <v>0</v>
      </c>
      <c r="AB121" s="115">
        <v>0</v>
      </c>
      <c r="AC121" s="53"/>
      <c r="AD121" s="53"/>
      <c r="AE121" s="53"/>
      <c r="AF121" s="275">
        <v>1200000</v>
      </c>
      <c r="AG121" s="53"/>
      <c r="AH121" s="47"/>
      <c r="AI121" s="53">
        <f t="shared" si="29"/>
        <v>1200000</v>
      </c>
      <c r="AJ121" s="51"/>
      <c r="AK121" s="218">
        <f t="shared" si="19"/>
        <v>-1200000</v>
      </c>
    </row>
    <row r="122" spans="1:37" s="36" customFormat="1" ht="15.75" x14ac:dyDescent="0.25">
      <c r="A122" s="113" t="s">
        <v>475</v>
      </c>
      <c r="B122" s="35" t="s">
        <v>655</v>
      </c>
      <c r="C122" s="52" t="s">
        <v>45</v>
      </c>
      <c r="D122" s="52" t="s">
        <v>45</v>
      </c>
      <c r="E122" s="35"/>
      <c r="F122" s="52" t="s">
        <v>623</v>
      </c>
      <c r="G122" s="52"/>
      <c r="H122" s="52"/>
      <c r="I122" s="52"/>
      <c r="J122" s="50">
        <f t="shared" si="27"/>
        <v>0</v>
      </c>
      <c r="K122" s="52" t="s">
        <v>320</v>
      </c>
      <c r="L122" s="52">
        <v>44591</v>
      </c>
      <c r="M122" s="52"/>
      <c r="N122" s="52"/>
      <c r="O122" s="50">
        <f t="shared" si="28"/>
        <v>-1481.4285714285713</v>
      </c>
      <c r="P122" s="50"/>
      <c r="Q122" s="50"/>
      <c r="R122" s="53"/>
      <c r="S122" s="115">
        <v>0</v>
      </c>
      <c r="T122" s="115">
        <v>0</v>
      </c>
      <c r="U122" s="115">
        <v>0</v>
      </c>
      <c r="V122" s="115">
        <v>0</v>
      </c>
      <c r="W122" s="115">
        <v>0</v>
      </c>
      <c r="X122" s="115">
        <v>0</v>
      </c>
      <c r="Y122" s="115">
        <v>0</v>
      </c>
      <c r="Z122" s="115">
        <v>0</v>
      </c>
      <c r="AA122" s="115">
        <v>0</v>
      </c>
      <c r="AB122" s="115">
        <v>0</v>
      </c>
      <c r="AC122" s="53"/>
      <c r="AD122" s="53"/>
      <c r="AE122" s="53"/>
      <c r="AF122" s="275"/>
      <c r="AG122" s="53"/>
      <c r="AH122" s="47"/>
      <c r="AI122" s="53">
        <f t="shared" si="29"/>
        <v>0</v>
      </c>
      <c r="AJ122" s="51"/>
      <c r="AK122" s="218">
        <f t="shared" si="19"/>
        <v>0</v>
      </c>
    </row>
    <row r="123" spans="1:37" s="36" customFormat="1" ht="15.75" x14ac:dyDescent="0.25">
      <c r="A123" s="104" t="s">
        <v>143</v>
      </c>
      <c r="B123" s="324" t="s">
        <v>145</v>
      </c>
      <c r="C123" s="52" t="s">
        <v>45</v>
      </c>
      <c r="D123" s="87" t="s">
        <v>45</v>
      </c>
      <c r="E123" s="105" t="s">
        <v>146</v>
      </c>
      <c r="F123" s="52" t="s">
        <v>623</v>
      </c>
      <c r="G123" s="52"/>
      <c r="H123" s="347">
        <v>44470</v>
      </c>
      <c r="I123" s="87">
        <v>44515</v>
      </c>
      <c r="J123" s="50">
        <f t="shared" si="27"/>
        <v>45</v>
      </c>
      <c r="K123" s="52" t="s">
        <v>320</v>
      </c>
      <c r="L123" s="87">
        <v>44593</v>
      </c>
      <c r="M123" s="87">
        <v>44833.8</v>
      </c>
      <c r="N123" s="87"/>
      <c r="O123" s="50">
        <f t="shared" si="28"/>
        <v>8.0000000000000977</v>
      </c>
      <c r="P123" s="50"/>
      <c r="Q123" s="88"/>
      <c r="R123" s="58">
        <v>600000</v>
      </c>
      <c r="S123" s="115">
        <v>0</v>
      </c>
      <c r="T123" s="115">
        <v>0</v>
      </c>
      <c r="U123" s="115">
        <v>0</v>
      </c>
      <c r="V123" s="115">
        <v>0</v>
      </c>
      <c r="W123" s="115">
        <v>0</v>
      </c>
      <c r="X123" s="115">
        <v>0</v>
      </c>
      <c r="Y123" s="115">
        <v>0</v>
      </c>
      <c r="Z123" s="115">
        <v>0</v>
      </c>
      <c r="AA123" s="115">
        <v>0</v>
      </c>
      <c r="AB123" s="115">
        <v>0</v>
      </c>
      <c r="AC123" s="275">
        <v>50000</v>
      </c>
      <c r="AD123" s="275">
        <v>100000</v>
      </c>
      <c r="AE123" s="275">
        <v>150000</v>
      </c>
      <c r="AF123" s="275">
        <v>300000</v>
      </c>
      <c r="AG123" s="53"/>
      <c r="AH123" s="47"/>
      <c r="AI123" s="53">
        <f t="shared" si="29"/>
        <v>600000</v>
      </c>
      <c r="AJ123" s="51"/>
      <c r="AK123" s="218">
        <f t="shared" si="19"/>
        <v>0</v>
      </c>
    </row>
    <row r="124" spans="1:37" s="36" customFormat="1" ht="15.75" x14ac:dyDescent="0.25">
      <c r="A124" s="104" t="s">
        <v>156</v>
      </c>
      <c r="B124" s="324" t="s">
        <v>157</v>
      </c>
      <c r="C124" s="87" t="s">
        <v>563</v>
      </c>
      <c r="D124" s="87" t="s">
        <v>704</v>
      </c>
      <c r="E124" s="65" t="s">
        <v>158</v>
      </c>
      <c r="F124" s="52" t="s">
        <v>623</v>
      </c>
      <c r="G124" s="52">
        <v>44470</v>
      </c>
      <c r="H124" s="329">
        <v>44362</v>
      </c>
      <c r="I124" s="347">
        <v>44479</v>
      </c>
      <c r="J124" s="50">
        <f t="shared" si="27"/>
        <v>117</v>
      </c>
      <c r="K124" s="52" t="s">
        <v>320</v>
      </c>
      <c r="L124" s="87">
        <f>I124+30</f>
        <v>44509</v>
      </c>
      <c r="M124" s="52">
        <v>44754</v>
      </c>
      <c r="N124" s="52"/>
      <c r="O124" s="50">
        <f t="shared" si="28"/>
        <v>8.1395348837209305</v>
      </c>
      <c r="P124" s="50"/>
      <c r="Q124" s="50"/>
      <c r="R124" s="53">
        <v>2000000</v>
      </c>
      <c r="S124" s="115">
        <v>0</v>
      </c>
      <c r="T124" s="115">
        <v>0</v>
      </c>
      <c r="U124" s="115">
        <v>0</v>
      </c>
      <c r="V124" s="115">
        <v>0</v>
      </c>
      <c r="W124" s="115">
        <v>0</v>
      </c>
      <c r="X124" s="115">
        <v>0</v>
      </c>
      <c r="Y124" s="115">
        <v>0</v>
      </c>
      <c r="Z124" s="115">
        <v>0</v>
      </c>
      <c r="AA124" s="115">
        <v>0</v>
      </c>
      <c r="AB124" s="115">
        <v>0</v>
      </c>
      <c r="AC124" s="275">
        <v>200000</v>
      </c>
      <c r="AD124" s="275">
        <v>200000</v>
      </c>
      <c r="AE124" s="275">
        <v>200000</v>
      </c>
      <c r="AF124" s="275">
        <v>975000</v>
      </c>
      <c r="AG124" s="53"/>
      <c r="AH124" s="47"/>
      <c r="AI124" s="53">
        <f t="shared" si="29"/>
        <v>1575000</v>
      </c>
      <c r="AJ124" s="51"/>
      <c r="AK124" s="218">
        <f t="shared" si="19"/>
        <v>-425000</v>
      </c>
    </row>
    <row r="125" spans="1:37" s="36" customFormat="1" ht="15.75" x14ac:dyDescent="0.25">
      <c r="A125" s="104" t="s">
        <v>159</v>
      </c>
      <c r="B125" s="324" t="s">
        <v>428</v>
      </c>
      <c r="C125" s="87" t="s">
        <v>563</v>
      </c>
      <c r="D125" s="87" t="s">
        <v>704</v>
      </c>
      <c r="E125" s="65" t="s">
        <v>158</v>
      </c>
      <c r="F125" s="52" t="s">
        <v>623</v>
      </c>
      <c r="G125" s="52"/>
      <c r="H125" s="347">
        <v>44484</v>
      </c>
      <c r="I125" s="87">
        <f>H125+45</f>
        <v>44529</v>
      </c>
      <c r="J125" s="50">
        <f t="shared" si="27"/>
        <v>45</v>
      </c>
      <c r="K125" s="52" t="s">
        <v>320</v>
      </c>
      <c r="L125" s="87">
        <f>I125+30</f>
        <v>44559</v>
      </c>
      <c r="M125" s="52">
        <v>44701.8</v>
      </c>
      <c r="N125" s="52"/>
      <c r="O125" s="50">
        <f t="shared" si="28"/>
        <v>4.7441860465117243</v>
      </c>
      <c r="P125" s="50"/>
      <c r="Q125" s="50"/>
      <c r="R125" s="53">
        <v>550000</v>
      </c>
      <c r="S125" s="115">
        <v>0</v>
      </c>
      <c r="T125" s="115">
        <v>0</v>
      </c>
      <c r="U125" s="115">
        <v>0</v>
      </c>
      <c r="V125" s="115">
        <v>0</v>
      </c>
      <c r="W125" s="115">
        <v>0</v>
      </c>
      <c r="X125" s="115">
        <v>0</v>
      </c>
      <c r="Y125" s="115">
        <v>0</v>
      </c>
      <c r="Z125" s="115">
        <v>0</v>
      </c>
      <c r="AA125" s="115">
        <v>0</v>
      </c>
      <c r="AB125" s="115">
        <v>0</v>
      </c>
      <c r="AC125" s="275">
        <v>50000</v>
      </c>
      <c r="AD125" s="275">
        <v>50000</v>
      </c>
      <c r="AE125" s="275">
        <v>50000</v>
      </c>
      <c r="AF125" s="275">
        <v>75000</v>
      </c>
      <c r="AG125" s="53"/>
      <c r="AH125" s="47"/>
      <c r="AI125" s="53">
        <f t="shared" si="29"/>
        <v>225000</v>
      </c>
      <c r="AJ125" s="51"/>
      <c r="AK125" s="218">
        <f t="shared" si="19"/>
        <v>-325000</v>
      </c>
    </row>
    <row r="126" spans="1:37" s="36" customFormat="1" ht="15.75" x14ac:dyDescent="0.25">
      <c r="A126" s="104" t="s">
        <v>394</v>
      </c>
      <c r="B126" s="324" t="s">
        <v>580</v>
      </c>
      <c r="C126" s="52" t="s">
        <v>45</v>
      </c>
      <c r="D126" s="87" t="s">
        <v>45</v>
      </c>
      <c r="E126" s="65" t="s">
        <v>149</v>
      </c>
      <c r="F126" s="52" t="s">
        <v>623</v>
      </c>
      <c r="G126" s="52"/>
      <c r="H126" s="347">
        <v>44491</v>
      </c>
      <c r="I126" s="87">
        <f>H126+45</f>
        <v>44536</v>
      </c>
      <c r="J126" s="50">
        <f t="shared" si="27"/>
        <v>45</v>
      </c>
      <c r="K126" s="52" t="s">
        <v>320</v>
      </c>
      <c r="L126" s="87">
        <v>44593</v>
      </c>
      <c r="M126" s="52">
        <v>44833.8</v>
      </c>
      <c r="N126" s="52"/>
      <c r="O126" s="50">
        <f t="shared" si="28"/>
        <v>8.0000000000000977</v>
      </c>
      <c r="P126" s="50"/>
      <c r="Q126" s="50"/>
      <c r="R126" s="53">
        <v>750000</v>
      </c>
      <c r="S126" s="115">
        <v>0</v>
      </c>
      <c r="T126" s="115">
        <v>0</v>
      </c>
      <c r="U126" s="115">
        <v>0</v>
      </c>
      <c r="V126" s="115">
        <v>0</v>
      </c>
      <c r="W126" s="115">
        <v>0</v>
      </c>
      <c r="X126" s="115">
        <v>0</v>
      </c>
      <c r="Y126" s="115">
        <v>0</v>
      </c>
      <c r="Z126" s="115">
        <v>0</v>
      </c>
      <c r="AA126" s="115">
        <v>0</v>
      </c>
      <c r="AB126" s="115">
        <v>0</v>
      </c>
      <c r="AC126" s="275">
        <v>150000</v>
      </c>
      <c r="AD126" s="275">
        <v>150000</v>
      </c>
      <c r="AE126" s="275">
        <v>150000</v>
      </c>
      <c r="AF126" s="275">
        <v>150000</v>
      </c>
      <c r="AG126" s="53"/>
      <c r="AH126" s="47"/>
      <c r="AI126" s="53">
        <f t="shared" si="29"/>
        <v>600000</v>
      </c>
      <c r="AJ126" s="51"/>
      <c r="AK126" s="218">
        <f t="shared" si="19"/>
        <v>-150000</v>
      </c>
    </row>
    <row r="127" spans="1:37" s="36" customFormat="1" ht="15.75" x14ac:dyDescent="0.25">
      <c r="A127" s="113" t="s">
        <v>228</v>
      </c>
      <c r="B127" s="352" t="s">
        <v>579</v>
      </c>
      <c r="C127" s="52" t="s">
        <v>45</v>
      </c>
      <c r="D127" s="87" t="s">
        <v>45</v>
      </c>
      <c r="E127" s="56" t="s">
        <v>230</v>
      </c>
      <c r="F127" s="52" t="s">
        <v>623</v>
      </c>
      <c r="G127" s="52"/>
      <c r="H127" s="347">
        <v>44498</v>
      </c>
      <c r="I127" s="87">
        <f>H127+45</f>
        <v>44543</v>
      </c>
      <c r="J127" s="50">
        <f t="shared" si="27"/>
        <v>45</v>
      </c>
      <c r="K127" s="52" t="s">
        <v>320</v>
      </c>
      <c r="L127" s="87">
        <f>I127+30</f>
        <v>44573</v>
      </c>
      <c r="M127" s="52"/>
      <c r="N127" s="52"/>
      <c r="O127" s="50">
        <f t="shared" si="28"/>
        <v>-1480.8305647840532</v>
      </c>
      <c r="P127" s="50"/>
      <c r="Q127" s="52"/>
      <c r="R127" s="53">
        <v>2229000</v>
      </c>
      <c r="S127" s="115">
        <v>0</v>
      </c>
      <c r="T127" s="115">
        <v>0</v>
      </c>
      <c r="U127" s="115">
        <v>0</v>
      </c>
      <c r="V127" s="115">
        <v>0</v>
      </c>
      <c r="W127" s="115">
        <v>0</v>
      </c>
      <c r="X127" s="115">
        <v>0</v>
      </c>
      <c r="Y127" s="115">
        <v>0</v>
      </c>
      <c r="Z127" s="115">
        <v>0</v>
      </c>
      <c r="AA127" s="115">
        <v>0</v>
      </c>
      <c r="AB127" s="115">
        <v>0</v>
      </c>
      <c r="AC127" s="58"/>
      <c r="AD127" s="58"/>
      <c r="AE127" s="58"/>
      <c r="AF127" s="275">
        <v>2229000</v>
      </c>
      <c r="AG127" s="53"/>
      <c r="AH127" s="47"/>
      <c r="AI127" s="53">
        <f t="shared" si="29"/>
        <v>2229000</v>
      </c>
      <c r="AJ127" s="51"/>
      <c r="AK127" s="218">
        <f t="shared" si="19"/>
        <v>0</v>
      </c>
    </row>
    <row r="128" spans="1:37" s="36" customFormat="1" ht="15.75" x14ac:dyDescent="0.25">
      <c r="A128" s="113" t="s">
        <v>578</v>
      </c>
      <c r="B128" s="186" t="s">
        <v>443</v>
      </c>
      <c r="C128" s="52" t="s">
        <v>45</v>
      </c>
      <c r="D128" s="87" t="s">
        <v>45</v>
      </c>
      <c r="E128" s="56" t="s">
        <v>230</v>
      </c>
      <c r="F128" s="52" t="s">
        <v>623</v>
      </c>
      <c r="G128" s="52"/>
      <c r="H128" s="347">
        <v>44498</v>
      </c>
      <c r="I128" s="87">
        <f>H128+45</f>
        <v>44543</v>
      </c>
      <c r="J128" s="50">
        <f t="shared" si="27"/>
        <v>45</v>
      </c>
      <c r="K128" s="52" t="s">
        <v>320</v>
      </c>
      <c r="L128" s="87">
        <f>I128+30</f>
        <v>44573</v>
      </c>
      <c r="M128" s="52"/>
      <c r="N128" s="52"/>
      <c r="O128" s="50">
        <f t="shared" si="28"/>
        <v>-1480.8305647840532</v>
      </c>
      <c r="P128" s="50"/>
      <c r="Q128" s="50"/>
      <c r="R128" s="53">
        <v>360000</v>
      </c>
      <c r="S128" s="115">
        <v>0</v>
      </c>
      <c r="T128" s="115">
        <v>0</v>
      </c>
      <c r="U128" s="115">
        <v>0</v>
      </c>
      <c r="V128" s="115">
        <v>0</v>
      </c>
      <c r="W128" s="115">
        <v>0</v>
      </c>
      <c r="X128" s="115">
        <v>0</v>
      </c>
      <c r="Y128" s="115">
        <v>0</v>
      </c>
      <c r="Z128" s="115">
        <v>0</v>
      </c>
      <c r="AA128" s="115">
        <v>0</v>
      </c>
      <c r="AB128" s="115">
        <v>0</v>
      </c>
      <c r="AC128" s="53"/>
      <c r="AD128" s="53"/>
      <c r="AE128" s="53"/>
      <c r="AF128" s="275">
        <v>360000</v>
      </c>
      <c r="AG128" s="53"/>
      <c r="AH128" s="47"/>
      <c r="AI128" s="53">
        <f t="shared" si="29"/>
        <v>360000</v>
      </c>
      <c r="AJ128" s="51"/>
      <c r="AK128" s="218">
        <f t="shared" si="19"/>
        <v>0</v>
      </c>
    </row>
    <row r="129" spans="1:38" s="36" customFormat="1" ht="15.75" x14ac:dyDescent="0.25">
      <c r="A129" s="113" t="s">
        <v>735</v>
      </c>
      <c r="B129" s="35" t="s">
        <v>736</v>
      </c>
      <c r="C129" s="52" t="s">
        <v>45</v>
      </c>
      <c r="D129" s="87" t="s">
        <v>45</v>
      </c>
      <c r="E129" s="57" t="s">
        <v>149</v>
      </c>
      <c r="F129" s="52" t="s">
        <v>623</v>
      </c>
      <c r="G129" s="52"/>
      <c r="H129" s="87">
        <v>44501</v>
      </c>
      <c r="I129" s="87">
        <v>44531</v>
      </c>
      <c r="J129" s="50">
        <f t="shared" si="27"/>
        <v>30</v>
      </c>
      <c r="K129" s="52" t="s">
        <v>320</v>
      </c>
      <c r="L129" s="87">
        <v>44593</v>
      </c>
      <c r="M129" s="52"/>
      <c r="N129" s="52"/>
      <c r="O129" s="50"/>
      <c r="P129" s="50"/>
      <c r="Q129" s="50"/>
      <c r="R129" s="53">
        <v>600000</v>
      </c>
      <c r="S129" s="115">
        <v>0</v>
      </c>
      <c r="T129" s="115">
        <v>0</v>
      </c>
      <c r="U129" s="115">
        <v>0</v>
      </c>
      <c r="V129" s="115">
        <v>0</v>
      </c>
      <c r="W129" s="115">
        <v>0</v>
      </c>
      <c r="X129" s="115">
        <v>0</v>
      </c>
      <c r="Y129" s="115">
        <v>0</v>
      </c>
      <c r="Z129" s="115">
        <v>0</v>
      </c>
      <c r="AA129" s="115">
        <v>0</v>
      </c>
      <c r="AB129" s="115">
        <v>0</v>
      </c>
      <c r="AC129" s="53"/>
      <c r="AD129" s="53"/>
      <c r="AE129" s="53"/>
      <c r="AF129" s="58"/>
      <c r="AG129" s="53"/>
      <c r="AH129" s="47"/>
      <c r="AI129" s="53"/>
      <c r="AJ129" s="51"/>
      <c r="AK129" s="218">
        <f t="shared" si="19"/>
        <v>-600000</v>
      </c>
    </row>
    <row r="130" spans="1:38" s="36" customFormat="1" ht="15.75" x14ac:dyDescent="0.25">
      <c r="A130" s="113" t="s">
        <v>737</v>
      </c>
      <c r="B130" s="35" t="s">
        <v>740</v>
      </c>
      <c r="C130" s="52" t="s">
        <v>45</v>
      </c>
      <c r="D130" s="87" t="s">
        <v>45</v>
      </c>
      <c r="E130" s="57" t="s">
        <v>149</v>
      </c>
      <c r="F130" s="52" t="s">
        <v>623</v>
      </c>
      <c r="G130" s="52"/>
      <c r="H130" s="87">
        <v>44501</v>
      </c>
      <c r="I130" s="87">
        <v>44531</v>
      </c>
      <c r="J130" s="50">
        <f t="shared" si="27"/>
        <v>30</v>
      </c>
      <c r="K130" s="52" t="s">
        <v>320</v>
      </c>
      <c r="L130" s="87">
        <v>44593</v>
      </c>
      <c r="M130" s="52"/>
      <c r="N130" s="52"/>
      <c r="O130" s="50"/>
      <c r="P130" s="50"/>
      <c r="Q130" s="50"/>
      <c r="R130" s="53"/>
      <c r="S130" s="115">
        <v>0</v>
      </c>
      <c r="T130" s="115">
        <v>0</v>
      </c>
      <c r="U130" s="115">
        <v>0</v>
      </c>
      <c r="V130" s="115">
        <v>0</v>
      </c>
      <c r="W130" s="115">
        <v>0</v>
      </c>
      <c r="X130" s="115">
        <v>0</v>
      </c>
      <c r="Y130" s="115">
        <v>0</v>
      </c>
      <c r="Z130" s="115">
        <v>0</v>
      </c>
      <c r="AA130" s="115">
        <v>0</v>
      </c>
      <c r="AB130" s="115">
        <v>0</v>
      </c>
      <c r="AC130" s="53"/>
      <c r="AD130" s="53"/>
      <c r="AE130" s="53"/>
      <c r="AF130" s="58"/>
      <c r="AG130" s="53"/>
      <c r="AH130" s="47"/>
      <c r="AI130" s="53"/>
      <c r="AJ130" s="51"/>
      <c r="AK130" s="218">
        <f t="shared" si="19"/>
        <v>0</v>
      </c>
    </row>
    <row r="131" spans="1:38" s="36" customFormat="1" ht="15.75" x14ac:dyDescent="0.25">
      <c r="A131" s="113" t="s">
        <v>738</v>
      </c>
      <c r="B131" s="35" t="s">
        <v>740</v>
      </c>
      <c r="C131" s="52" t="s">
        <v>45</v>
      </c>
      <c r="D131" s="87" t="s">
        <v>45</v>
      </c>
      <c r="E131" s="57" t="s">
        <v>149</v>
      </c>
      <c r="F131" s="52" t="s">
        <v>623</v>
      </c>
      <c r="G131" s="52"/>
      <c r="H131" s="87">
        <v>44501</v>
      </c>
      <c r="I131" s="87">
        <v>44531</v>
      </c>
      <c r="J131" s="50">
        <f t="shared" si="27"/>
        <v>30</v>
      </c>
      <c r="K131" s="52" t="s">
        <v>320</v>
      </c>
      <c r="L131" s="87">
        <v>44593</v>
      </c>
      <c r="M131" s="52"/>
      <c r="N131" s="52"/>
      <c r="O131" s="50"/>
      <c r="P131" s="50"/>
      <c r="Q131" s="50"/>
      <c r="R131" s="53"/>
      <c r="S131" s="115">
        <v>0</v>
      </c>
      <c r="T131" s="115">
        <v>0</v>
      </c>
      <c r="U131" s="115">
        <v>0</v>
      </c>
      <c r="V131" s="115">
        <v>0</v>
      </c>
      <c r="W131" s="115">
        <v>0</v>
      </c>
      <c r="X131" s="115">
        <v>0</v>
      </c>
      <c r="Y131" s="115">
        <v>0</v>
      </c>
      <c r="Z131" s="115">
        <v>0</v>
      </c>
      <c r="AA131" s="115">
        <v>0</v>
      </c>
      <c r="AB131" s="115">
        <v>0</v>
      </c>
      <c r="AC131" s="53"/>
      <c r="AD131" s="53"/>
      <c r="AE131" s="53"/>
      <c r="AF131" s="58"/>
      <c r="AG131" s="53"/>
      <c r="AH131" s="47"/>
      <c r="AI131" s="53"/>
      <c r="AJ131" s="51"/>
      <c r="AK131" s="218">
        <f t="shared" si="19"/>
        <v>0</v>
      </c>
    </row>
    <row r="132" spans="1:38" s="36" customFormat="1" ht="15.75" x14ac:dyDescent="0.25">
      <c r="A132" s="99"/>
      <c r="B132" s="100"/>
      <c r="C132" s="91"/>
      <c r="D132" s="91"/>
      <c r="E132" s="100"/>
      <c r="F132" s="91"/>
      <c r="G132" s="91"/>
      <c r="H132" s="91"/>
      <c r="I132" s="91"/>
      <c r="J132" s="92"/>
      <c r="K132" s="91"/>
      <c r="L132" s="91"/>
      <c r="M132" s="91"/>
      <c r="N132" s="91"/>
      <c r="O132" s="92"/>
      <c r="P132" s="92"/>
      <c r="Q132" s="92"/>
      <c r="R132" s="59">
        <f t="shared" ref="R132:AG132" si="30">SUM(R89:R131)</f>
        <v>58319500</v>
      </c>
      <c r="S132" s="59">
        <f t="shared" si="30"/>
        <v>0</v>
      </c>
      <c r="T132" s="59">
        <f t="shared" si="30"/>
        <v>0</v>
      </c>
      <c r="U132" s="59">
        <f t="shared" si="30"/>
        <v>0</v>
      </c>
      <c r="V132" s="59">
        <f t="shared" si="30"/>
        <v>0</v>
      </c>
      <c r="W132" s="59">
        <f t="shared" si="30"/>
        <v>0</v>
      </c>
      <c r="X132" s="59">
        <f t="shared" si="30"/>
        <v>0</v>
      </c>
      <c r="Y132" s="59">
        <f t="shared" si="30"/>
        <v>0</v>
      </c>
      <c r="Z132" s="59">
        <f t="shared" si="30"/>
        <v>0</v>
      </c>
      <c r="AA132" s="59">
        <f t="shared" si="30"/>
        <v>0</v>
      </c>
      <c r="AB132" s="59">
        <f t="shared" si="30"/>
        <v>0</v>
      </c>
      <c r="AC132" s="59">
        <f t="shared" si="30"/>
        <v>450000</v>
      </c>
      <c r="AD132" s="59">
        <f t="shared" si="30"/>
        <v>750000</v>
      </c>
      <c r="AE132" s="59">
        <f t="shared" si="30"/>
        <v>1300000</v>
      </c>
      <c r="AF132" s="59">
        <f t="shared" si="30"/>
        <v>44948000</v>
      </c>
      <c r="AG132" s="59">
        <f t="shared" si="30"/>
        <v>7000000</v>
      </c>
      <c r="AH132" s="47"/>
      <c r="AI132" s="53">
        <f>SUM(S132:AH132)</f>
        <v>54448000</v>
      </c>
      <c r="AJ132" s="51"/>
      <c r="AK132" s="218">
        <f t="shared" ref="AK132:AK154" si="31">AI132-R132</f>
        <v>-3871500</v>
      </c>
      <c r="AL132" s="55"/>
    </row>
    <row r="133" spans="1:38" s="36" customFormat="1" ht="15.75" x14ac:dyDescent="0.25">
      <c r="A133" s="106" t="s">
        <v>582</v>
      </c>
      <c r="B133" s="107"/>
      <c r="C133" s="101"/>
      <c r="D133" s="102"/>
      <c r="E133" s="107"/>
      <c r="F133" s="102"/>
      <c r="G133" s="102"/>
      <c r="H133" s="276"/>
      <c r="I133" s="276"/>
      <c r="J133" s="84"/>
      <c r="K133" s="102"/>
      <c r="L133" s="102"/>
      <c r="M133" s="102"/>
      <c r="N133" s="102"/>
      <c r="O133" s="84"/>
      <c r="P133" s="84"/>
      <c r="Q133" s="84"/>
      <c r="R133" s="193"/>
      <c r="S133" s="85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47"/>
      <c r="AI133" s="85"/>
      <c r="AJ133" s="51"/>
      <c r="AK133" s="218">
        <f t="shared" si="31"/>
        <v>0</v>
      </c>
    </row>
    <row r="134" spans="1:38" s="36" customFormat="1" ht="15.75" x14ac:dyDescent="0.25">
      <c r="A134" s="34" t="s">
        <v>430</v>
      </c>
      <c r="B134" s="34" t="s">
        <v>431</v>
      </c>
      <c r="C134" s="52" t="s">
        <v>581</v>
      </c>
      <c r="D134" s="52" t="s">
        <v>581</v>
      </c>
      <c r="E134" s="52" t="s">
        <v>581</v>
      </c>
      <c r="F134" s="52" t="s">
        <v>581</v>
      </c>
      <c r="G134" s="52"/>
      <c r="H134" s="52" t="s">
        <v>581</v>
      </c>
      <c r="I134" s="52" t="s">
        <v>581</v>
      </c>
      <c r="J134" s="52" t="s">
        <v>581</v>
      </c>
      <c r="K134" s="52" t="s">
        <v>320</v>
      </c>
      <c r="L134" s="52" t="s">
        <v>581</v>
      </c>
      <c r="M134" s="52" t="s">
        <v>581</v>
      </c>
      <c r="N134" s="52"/>
      <c r="O134" s="52" t="s">
        <v>581</v>
      </c>
      <c r="P134" s="52" t="s">
        <v>581</v>
      </c>
      <c r="Q134" s="52" t="s">
        <v>581</v>
      </c>
      <c r="R134" s="182">
        <v>137906</v>
      </c>
      <c r="S134" s="115">
        <v>61092</v>
      </c>
      <c r="T134" s="115">
        <v>0</v>
      </c>
      <c r="U134" s="115">
        <v>0</v>
      </c>
      <c r="V134" s="115">
        <v>0</v>
      </c>
      <c r="W134" s="115">
        <v>73311</v>
      </c>
      <c r="X134" s="115">
        <v>0</v>
      </c>
      <c r="Y134" s="115">
        <v>0</v>
      </c>
      <c r="Z134" s="115">
        <v>3503</v>
      </c>
      <c r="AA134" s="115">
        <v>0</v>
      </c>
      <c r="AB134" s="115">
        <v>0</v>
      </c>
      <c r="AC134" s="58"/>
      <c r="AD134" s="58"/>
      <c r="AE134" s="58"/>
      <c r="AF134" s="58"/>
      <c r="AG134" s="53"/>
      <c r="AH134" s="47"/>
      <c r="AI134" s="53">
        <f t="shared" ref="AI134:AI152" si="32">SUM(S134:AH134)</f>
        <v>137906</v>
      </c>
      <c r="AJ134" s="51"/>
      <c r="AK134" s="218">
        <f t="shared" si="31"/>
        <v>0</v>
      </c>
    </row>
    <row r="135" spans="1:38" s="36" customFormat="1" ht="15.75" x14ac:dyDescent="0.25">
      <c r="A135" s="60" t="s">
        <v>432</v>
      </c>
      <c r="B135" s="61" t="s">
        <v>433</v>
      </c>
      <c r="C135" s="52" t="s">
        <v>581</v>
      </c>
      <c r="D135" s="52" t="s">
        <v>581</v>
      </c>
      <c r="E135" s="52" t="s">
        <v>581</v>
      </c>
      <c r="F135" s="52" t="s">
        <v>581</v>
      </c>
      <c r="G135" s="52"/>
      <c r="H135" s="52" t="s">
        <v>581</v>
      </c>
      <c r="I135" s="52" t="s">
        <v>581</v>
      </c>
      <c r="J135" s="52" t="s">
        <v>581</v>
      </c>
      <c r="K135" s="52" t="s">
        <v>320</v>
      </c>
      <c r="L135" s="52" t="s">
        <v>581</v>
      </c>
      <c r="M135" s="52" t="s">
        <v>581</v>
      </c>
      <c r="N135" s="87"/>
      <c r="O135" s="52" t="s">
        <v>581</v>
      </c>
      <c r="P135" s="52" t="s">
        <v>581</v>
      </c>
      <c r="Q135" s="52" t="s">
        <v>581</v>
      </c>
      <c r="R135" s="182">
        <v>136537</v>
      </c>
      <c r="S135" s="115">
        <v>61092</v>
      </c>
      <c r="T135" s="115">
        <v>0</v>
      </c>
      <c r="U135" s="115">
        <v>0</v>
      </c>
      <c r="V135" s="115">
        <v>0</v>
      </c>
      <c r="W135" s="115">
        <v>73311</v>
      </c>
      <c r="X135" s="115">
        <v>0</v>
      </c>
      <c r="Y135" s="115">
        <v>0</v>
      </c>
      <c r="Z135" s="115">
        <v>2134</v>
      </c>
      <c r="AA135" s="115">
        <v>0</v>
      </c>
      <c r="AB135" s="115">
        <v>0</v>
      </c>
      <c r="AC135" s="58"/>
      <c r="AD135" s="58"/>
      <c r="AE135" s="58"/>
      <c r="AF135" s="58"/>
      <c r="AG135" s="53"/>
      <c r="AH135" s="47"/>
      <c r="AI135" s="53">
        <f t="shared" si="32"/>
        <v>136537</v>
      </c>
      <c r="AJ135" s="51"/>
      <c r="AK135" s="218">
        <f t="shared" si="31"/>
        <v>0</v>
      </c>
    </row>
    <row r="136" spans="1:38" s="36" customFormat="1" ht="15.75" x14ac:dyDescent="0.25">
      <c r="A136" s="111" t="s">
        <v>558</v>
      </c>
      <c r="B136" s="112" t="s">
        <v>641</v>
      </c>
      <c r="C136" s="341" t="s">
        <v>563</v>
      </c>
      <c r="D136" s="341" t="s">
        <v>671</v>
      </c>
      <c r="E136" s="310" t="s">
        <v>319</v>
      </c>
      <c r="F136" s="310" t="s">
        <v>319</v>
      </c>
      <c r="G136" s="310"/>
      <c r="H136" s="310" t="s">
        <v>319</v>
      </c>
      <c r="I136" s="310" t="s">
        <v>319</v>
      </c>
      <c r="J136" s="310" t="s">
        <v>319</v>
      </c>
      <c r="K136" s="52" t="s">
        <v>320</v>
      </c>
      <c r="L136" s="310" t="s">
        <v>319</v>
      </c>
      <c r="M136" s="310" t="s">
        <v>319</v>
      </c>
      <c r="N136" s="87"/>
      <c r="O136" s="310" t="s">
        <v>319</v>
      </c>
      <c r="P136" s="310" t="s">
        <v>319</v>
      </c>
      <c r="Q136" s="310" t="s">
        <v>319</v>
      </c>
      <c r="R136" s="306">
        <v>0</v>
      </c>
      <c r="S136" s="115">
        <v>0</v>
      </c>
      <c r="T136" s="115">
        <v>0</v>
      </c>
      <c r="U136" s="115">
        <v>0</v>
      </c>
      <c r="V136" s="115">
        <v>0</v>
      </c>
      <c r="W136" s="115">
        <v>0</v>
      </c>
      <c r="X136" s="115">
        <v>0</v>
      </c>
      <c r="Y136" s="115">
        <v>0</v>
      </c>
      <c r="Z136" s="115">
        <v>0</v>
      </c>
      <c r="AA136" s="115">
        <v>0</v>
      </c>
      <c r="AB136" s="115">
        <v>0</v>
      </c>
      <c r="AC136" s="58"/>
      <c r="AD136" s="58"/>
      <c r="AE136" s="58"/>
      <c r="AF136" s="58"/>
      <c r="AG136" s="53"/>
      <c r="AH136" s="47"/>
      <c r="AI136" s="53">
        <f>SUM(S136:AH136)</f>
        <v>0</v>
      </c>
      <c r="AJ136" s="51"/>
      <c r="AK136" s="218">
        <f t="shared" si="31"/>
        <v>0</v>
      </c>
    </row>
    <row r="137" spans="1:38" s="36" customFormat="1" ht="15.75" x14ac:dyDescent="0.25">
      <c r="A137" s="60" t="s">
        <v>161</v>
      </c>
      <c r="B137" s="61" t="s">
        <v>163</v>
      </c>
      <c r="C137" s="52" t="s">
        <v>165</v>
      </c>
      <c r="D137" s="52" t="s">
        <v>165</v>
      </c>
      <c r="E137" s="52" t="s">
        <v>165</v>
      </c>
      <c r="F137" s="52" t="s">
        <v>165</v>
      </c>
      <c r="G137" s="52"/>
      <c r="H137" s="52" t="s">
        <v>165</v>
      </c>
      <c r="I137" s="52" t="s">
        <v>165</v>
      </c>
      <c r="J137" s="52" t="s">
        <v>165</v>
      </c>
      <c r="K137" s="52" t="s">
        <v>320</v>
      </c>
      <c r="L137" s="52" t="s">
        <v>165</v>
      </c>
      <c r="M137" s="52" t="s">
        <v>165</v>
      </c>
      <c r="N137" s="87"/>
      <c r="O137" s="52" t="s">
        <v>165</v>
      </c>
      <c r="P137" s="52" t="s">
        <v>165</v>
      </c>
      <c r="Q137" s="52" t="s">
        <v>165</v>
      </c>
      <c r="R137" s="86">
        <v>0</v>
      </c>
      <c r="S137" s="115">
        <v>0</v>
      </c>
      <c r="T137" s="115">
        <v>0</v>
      </c>
      <c r="U137" s="115">
        <v>0</v>
      </c>
      <c r="V137" s="115">
        <v>0</v>
      </c>
      <c r="W137" s="115">
        <v>0</v>
      </c>
      <c r="X137" s="115">
        <v>0</v>
      </c>
      <c r="Y137" s="115">
        <v>0</v>
      </c>
      <c r="Z137" s="115">
        <v>0</v>
      </c>
      <c r="AA137" s="115">
        <v>0</v>
      </c>
      <c r="AB137" s="115">
        <v>0</v>
      </c>
      <c r="AC137" s="58"/>
      <c r="AD137" s="58"/>
      <c r="AE137" s="58"/>
      <c r="AF137" s="58"/>
      <c r="AG137" s="53"/>
      <c r="AH137" s="47"/>
      <c r="AI137" s="53">
        <f t="shared" si="32"/>
        <v>0</v>
      </c>
      <c r="AJ137" s="51"/>
      <c r="AK137" s="218">
        <f t="shared" si="31"/>
        <v>0</v>
      </c>
    </row>
    <row r="138" spans="1:38" s="36" customFormat="1" ht="15.75" x14ac:dyDescent="0.25">
      <c r="A138" s="111" t="s">
        <v>82</v>
      </c>
      <c r="B138" s="112" t="s">
        <v>532</v>
      </c>
      <c r="C138" s="52" t="s">
        <v>165</v>
      </c>
      <c r="D138" s="52" t="s">
        <v>165</v>
      </c>
      <c r="E138" s="340" t="s">
        <v>451</v>
      </c>
      <c r="F138" s="52" t="s">
        <v>165</v>
      </c>
      <c r="G138" s="52"/>
      <c r="H138" s="341">
        <v>44107</v>
      </c>
      <c r="I138" s="341">
        <v>44279</v>
      </c>
      <c r="J138" s="342">
        <f>I138-H138</f>
        <v>172</v>
      </c>
      <c r="K138" s="87" t="s">
        <v>370</v>
      </c>
      <c r="L138" s="341">
        <v>44389</v>
      </c>
      <c r="M138" s="341">
        <v>44569.599999999999</v>
      </c>
      <c r="N138" s="87"/>
      <c r="O138" s="52" t="s">
        <v>165</v>
      </c>
      <c r="P138" s="52" t="s">
        <v>165</v>
      </c>
      <c r="Q138" s="52" t="s">
        <v>165</v>
      </c>
      <c r="R138" s="86">
        <v>33274</v>
      </c>
      <c r="S138" s="115">
        <v>0</v>
      </c>
      <c r="T138" s="115">
        <v>0</v>
      </c>
      <c r="U138" s="115">
        <v>0</v>
      </c>
      <c r="V138" s="115">
        <v>0</v>
      </c>
      <c r="W138" s="115">
        <v>0</v>
      </c>
      <c r="X138" s="115">
        <v>33274</v>
      </c>
      <c r="Y138" s="115">
        <v>0</v>
      </c>
      <c r="Z138" s="115">
        <v>0</v>
      </c>
      <c r="AA138" s="115">
        <v>0</v>
      </c>
      <c r="AB138" s="115">
        <v>0</v>
      </c>
      <c r="AC138" s="58"/>
      <c r="AD138" s="58"/>
      <c r="AE138" s="58"/>
      <c r="AF138" s="58"/>
      <c r="AG138" s="53"/>
      <c r="AH138" s="47"/>
      <c r="AI138" s="53">
        <f>SUM(S138:AH138)</f>
        <v>33274</v>
      </c>
      <c r="AJ138" s="51"/>
      <c r="AK138" s="218">
        <f t="shared" si="31"/>
        <v>0</v>
      </c>
    </row>
    <row r="139" spans="1:38" s="36" customFormat="1" ht="15.75" x14ac:dyDescent="0.25">
      <c r="A139" s="244" t="s">
        <v>298</v>
      </c>
      <c r="B139" s="272" t="s">
        <v>299</v>
      </c>
      <c r="C139" s="341" t="s">
        <v>563</v>
      </c>
      <c r="D139" s="341" t="s">
        <v>671</v>
      </c>
      <c r="E139" s="310" t="s">
        <v>319</v>
      </c>
      <c r="F139" s="310" t="s">
        <v>319</v>
      </c>
      <c r="G139" s="310"/>
      <c r="H139" s="310" t="s">
        <v>319</v>
      </c>
      <c r="I139" s="310" t="s">
        <v>319</v>
      </c>
      <c r="J139" s="310" t="s">
        <v>319</v>
      </c>
      <c r="K139" s="52" t="s">
        <v>320</v>
      </c>
      <c r="L139" s="310" t="s">
        <v>319</v>
      </c>
      <c r="M139" s="310" t="s">
        <v>319</v>
      </c>
      <c r="N139" s="87"/>
      <c r="O139" s="310" t="s">
        <v>319</v>
      </c>
      <c r="P139" s="310" t="s">
        <v>319</v>
      </c>
      <c r="Q139" s="310" t="s">
        <v>319</v>
      </c>
      <c r="R139" s="306">
        <v>0</v>
      </c>
      <c r="S139" s="115">
        <v>0</v>
      </c>
      <c r="T139" s="115">
        <v>0</v>
      </c>
      <c r="U139" s="115">
        <v>0</v>
      </c>
      <c r="V139" s="115">
        <v>0</v>
      </c>
      <c r="W139" s="242">
        <v>0</v>
      </c>
      <c r="X139" s="115">
        <v>0</v>
      </c>
      <c r="Y139" s="115">
        <v>0</v>
      </c>
      <c r="Z139" s="115">
        <v>0</v>
      </c>
      <c r="AA139" s="115">
        <v>0</v>
      </c>
      <c r="AB139" s="115">
        <v>0</v>
      </c>
      <c r="AC139" s="53"/>
      <c r="AD139" s="53"/>
      <c r="AE139" s="53"/>
      <c r="AF139" s="53"/>
      <c r="AG139" s="53"/>
      <c r="AH139" s="47"/>
      <c r="AI139" s="53">
        <f>SUM(S139:AH139)</f>
        <v>0</v>
      </c>
      <c r="AJ139" s="51"/>
      <c r="AK139" s="218">
        <f t="shared" si="31"/>
        <v>0</v>
      </c>
    </row>
    <row r="140" spans="1:38" s="36" customFormat="1" ht="15.75" x14ac:dyDescent="0.25">
      <c r="A140" s="244" t="s">
        <v>316</v>
      </c>
      <c r="B140" s="244" t="s">
        <v>435</v>
      </c>
      <c r="C140" s="52" t="s">
        <v>319</v>
      </c>
      <c r="D140" s="52" t="s">
        <v>319</v>
      </c>
      <c r="E140" s="52" t="s">
        <v>319</v>
      </c>
      <c r="F140" s="52" t="s">
        <v>319</v>
      </c>
      <c r="G140" s="52"/>
      <c r="H140" s="52" t="s">
        <v>319</v>
      </c>
      <c r="I140" s="52" t="s">
        <v>319</v>
      </c>
      <c r="J140" s="52" t="s">
        <v>319</v>
      </c>
      <c r="K140" s="52" t="s">
        <v>320</v>
      </c>
      <c r="L140" s="52" t="s">
        <v>319</v>
      </c>
      <c r="M140" s="52" t="s">
        <v>319</v>
      </c>
      <c r="N140" s="87"/>
      <c r="O140" s="52" t="s">
        <v>319</v>
      </c>
      <c r="P140" s="52" t="s">
        <v>319</v>
      </c>
      <c r="Q140" s="52" t="s">
        <v>319</v>
      </c>
      <c r="R140" s="182">
        <v>461956</v>
      </c>
      <c r="S140" s="115">
        <v>0</v>
      </c>
      <c r="T140" s="115">
        <v>353138</v>
      </c>
      <c r="U140" s="115">
        <v>108818</v>
      </c>
      <c r="V140" s="115">
        <v>0</v>
      </c>
      <c r="W140" s="115">
        <v>0</v>
      </c>
      <c r="X140" s="115">
        <v>0</v>
      </c>
      <c r="Y140" s="115">
        <v>0</v>
      </c>
      <c r="Z140" s="115">
        <v>0</v>
      </c>
      <c r="AA140" s="115">
        <v>0</v>
      </c>
      <c r="AB140" s="115">
        <v>0</v>
      </c>
      <c r="AC140" s="53"/>
      <c r="AD140" s="53"/>
      <c r="AE140" s="53"/>
      <c r="AF140" s="53"/>
      <c r="AG140" s="53"/>
      <c r="AH140" s="47"/>
      <c r="AI140" s="53">
        <f t="shared" si="32"/>
        <v>461956</v>
      </c>
      <c r="AJ140" s="51"/>
      <c r="AK140" s="218">
        <f t="shared" si="31"/>
        <v>0</v>
      </c>
    </row>
    <row r="141" spans="1:38" s="36" customFormat="1" ht="15.75" x14ac:dyDescent="0.25">
      <c r="A141" s="113" t="s">
        <v>325</v>
      </c>
      <c r="B141" s="114" t="s">
        <v>418</v>
      </c>
      <c r="C141" s="52" t="s">
        <v>319</v>
      </c>
      <c r="D141" s="52" t="s">
        <v>319</v>
      </c>
      <c r="E141" s="52" t="s">
        <v>319</v>
      </c>
      <c r="F141" s="52" t="s">
        <v>319</v>
      </c>
      <c r="G141" s="52"/>
      <c r="H141" s="52" t="s">
        <v>319</v>
      </c>
      <c r="I141" s="52" t="s">
        <v>319</v>
      </c>
      <c r="J141" s="52" t="s">
        <v>319</v>
      </c>
      <c r="K141" s="52" t="s">
        <v>320</v>
      </c>
      <c r="L141" s="52" t="s">
        <v>319</v>
      </c>
      <c r="M141" s="52" t="s">
        <v>319</v>
      </c>
      <c r="N141" s="52"/>
      <c r="O141" s="52" t="s">
        <v>319</v>
      </c>
      <c r="P141" s="52" t="s">
        <v>319</v>
      </c>
      <c r="Q141" s="52" t="s">
        <v>319</v>
      </c>
      <c r="R141" s="247">
        <v>15630</v>
      </c>
      <c r="S141" s="115">
        <v>0</v>
      </c>
      <c r="T141" s="115">
        <v>0</v>
      </c>
      <c r="U141" s="115">
        <v>15630</v>
      </c>
      <c r="V141" s="115">
        <v>0</v>
      </c>
      <c r="W141" s="115">
        <v>0</v>
      </c>
      <c r="X141" s="115">
        <v>0</v>
      </c>
      <c r="Y141" s="115">
        <v>0</v>
      </c>
      <c r="Z141" s="115">
        <v>0</v>
      </c>
      <c r="AA141" s="115">
        <v>0</v>
      </c>
      <c r="AB141" s="115">
        <v>0</v>
      </c>
      <c r="AC141" s="53"/>
      <c r="AD141" s="53"/>
      <c r="AE141" s="53"/>
      <c r="AF141" s="58"/>
      <c r="AG141" s="53"/>
      <c r="AH141" s="47"/>
      <c r="AI141" s="53">
        <f t="shared" si="32"/>
        <v>15630</v>
      </c>
      <c r="AJ141" s="51"/>
      <c r="AK141" s="218">
        <f t="shared" si="31"/>
        <v>0</v>
      </c>
    </row>
    <row r="142" spans="1:38" s="36" customFormat="1" ht="15.75" x14ac:dyDescent="0.25">
      <c r="A142" s="113" t="s">
        <v>328</v>
      </c>
      <c r="B142" s="114" t="s">
        <v>419</v>
      </c>
      <c r="C142" s="52" t="s">
        <v>319</v>
      </c>
      <c r="D142" s="52" t="s">
        <v>319</v>
      </c>
      <c r="E142" s="52" t="s">
        <v>319</v>
      </c>
      <c r="F142" s="52" t="s">
        <v>319</v>
      </c>
      <c r="G142" s="52"/>
      <c r="H142" s="52" t="s">
        <v>319</v>
      </c>
      <c r="I142" s="52" t="s">
        <v>319</v>
      </c>
      <c r="J142" s="52" t="s">
        <v>319</v>
      </c>
      <c r="K142" s="52" t="s">
        <v>320</v>
      </c>
      <c r="L142" s="52" t="s">
        <v>319</v>
      </c>
      <c r="M142" s="52" t="s">
        <v>319</v>
      </c>
      <c r="N142" s="52"/>
      <c r="O142" s="52" t="s">
        <v>319</v>
      </c>
      <c r="P142" s="52" t="s">
        <v>319</v>
      </c>
      <c r="Q142" s="52" t="s">
        <v>319</v>
      </c>
      <c r="R142" s="247">
        <v>15000</v>
      </c>
      <c r="S142" s="115">
        <v>0</v>
      </c>
      <c r="T142" s="115">
        <v>0</v>
      </c>
      <c r="U142" s="115">
        <v>5720</v>
      </c>
      <c r="V142" s="115">
        <v>0</v>
      </c>
      <c r="W142" s="115">
        <v>9280</v>
      </c>
      <c r="X142" s="115">
        <v>0</v>
      </c>
      <c r="Y142" s="115">
        <v>0</v>
      </c>
      <c r="Z142" s="115">
        <v>0</v>
      </c>
      <c r="AA142" s="115">
        <v>0</v>
      </c>
      <c r="AB142" s="115">
        <v>0</v>
      </c>
      <c r="AC142" s="53"/>
      <c r="AD142" s="53"/>
      <c r="AE142" s="53"/>
      <c r="AF142" s="58"/>
      <c r="AG142" s="53"/>
      <c r="AH142" s="47"/>
      <c r="AI142" s="53">
        <f t="shared" si="32"/>
        <v>15000</v>
      </c>
      <c r="AJ142" s="51"/>
      <c r="AK142" s="218">
        <f t="shared" si="31"/>
        <v>0</v>
      </c>
    </row>
    <row r="143" spans="1:38" s="36" customFormat="1" ht="15.75" x14ac:dyDescent="0.25">
      <c r="A143" s="113" t="s">
        <v>110</v>
      </c>
      <c r="B143" s="114" t="s">
        <v>111</v>
      </c>
      <c r="C143" s="52" t="s">
        <v>319</v>
      </c>
      <c r="D143" s="52" t="s">
        <v>319</v>
      </c>
      <c r="E143" s="52" t="s">
        <v>319</v>
      </c>
      <c r="F143" s="52" t="s">
        <v>319</v>
      </c>
      <c r="G143" s="52"/>
      <c r="H143" s="52" t="s">
        <v>319</v>
      </c>
      <c r="I143" s="52" t="s">
        <v>319</v>
      </c>
      <c r="J143" s="52" t="s">
        <v>319</v>
      </c>
      <c r="K143" s="52" t="s">
        <v>320</v>
      </c>
      <c r="L143" s="52" t="s">
        <v>319</v>
      </c>
      <c r="M143" s="52" t="s">
        <v>319</v>
      </c>
      <c r="N143" s="52"/>
      <c r="O143" s="52" t="s">
        <v>319</v>
      </c>
      <c r="P143" s="52" t="s">
        <v>319</v>
      </c>
      <c r="Q143" s="52" t="s">
        <v>319</v>
      </c>
      <c r="R143" s="86">
        <v>0</v>
      </c>
      <c r="S143" s="115">
        <v>0</v>
      </c>
      <c r="T143" s="115">
        <v>0</v>
      </c>
      <c r="U143" s="115">
        <v>0</v>
      </c>
      <c r="V143" s="115">
        <v>0</v>
      </c>
      <c r="W143" s="115">
        <v>0</v>
      </c>
      <c r="X143" s="115">
        <v>0</v>
      </c>
      <c r="Y143" s="115">
        <v>0</v>
      </c>
      <c r="Z143" s="115">
        <v>0</v>
      </c>
      <c r="AA143" s="115">
        <v>0</v>
      </c>
      <c r="AB143" s="115">
        <v>0</v>
      </c>
      <c r="AC143" s="53"/>
      <c r="AD143" s="53"/>
      <c r="AE143" s="53"/>
      <c r="AF143" s="53"/>
      <c r="AG143" s="53"/>
      <c r="AH143" s="47"/>
      <c r="AI143" s="53">
        <f t="shared" si="32"/>
        <v>0</v>
      </c>
      <c r="AJ143" s="51"/>
      <c r="AK143" s="218">
        <f t="shared" si="31"/>
        <v>0</v>
      </c>
    </row>
    <row r="144" spans="1:38" s="36" customFormat="1" ht="15.75" x14ac:dyDescent="0.25">
      <c r="A144" s="113" t="s">
        <v>187</v>
      </c>
      <c r="B144" s="114" t="s">
        <v>188</v>
      </c>
      <c r="C144" s="52" t="s">
        <v>319</v>
      </c>
      <c r="D144" s="52" t="s">
        <v>319</v>
      </c>
      <c r="E144" s="52" t="s">
        <v>319</v>
      </c>
      <c r="F144" s="52" t="s">
        <v>319</v>
      </c>
      <c r="G144" s="52"/>
      <c r="H144" s="52" t="s">
        <v>319</v>
      </c>
      <c r="I144" s="52" t="s">
        <v>319</v>
      </c>
      <c r="J144" s="52" t="s">
        <v>319</v>
      </c>
      <c r="K144" s="52" t="s">
        <v>320</v>
      </c>
      <c r="L144" s="52" t="s">
        <v>319</v>
      </c>
      <c r="M144" s="52" t="s">
        <v>319</v>
      </c>
      <c r="N144" s="52"/>
      <c r="O144" s="52" t="s">
        <v>319</v>
      </c>
      <c r="P144" s="52" t="s">
        <v>319</v>
      </c>
      <c r="Q144" s="52" t="s">
        <v>319</v>
      </c>
      <c r="R144" s="182">
        <v>41062</v>
      </c>
      <c r="S144" s="115">
        <v>0</v>
      </c>
      <c r="T144" s="115">
        <v>0</v>
      </c>
      <c r="U144" s="115">
        <v>0</v>
      </c>
      <c r="V144" s="115">
        <v>0</v>
      </c>
      <c r="W144" s="115">
        <v>0</v>
      </c>
      <c r="X144" s="115">
        <v>41062</v>
      </c>
      <c r="Y144" s="115">
        <v>0</v>
      </c>
      <c r="Z144" s="115">
        <v>0</v>
      </c>
      <c r="AA144" s="115">
        <v>0</v>
      </c>
      <c r="AB144" s="115">
        <v>0</v>
      </c>
      <c r="AC144" s="58"/>
      <c r="AD144" s="58"/>
      <c r="AE144" s="58"/>
      <c r="AF144" s="58"/>
      <c r="AG144" s="58"/>
      <c r="AH144" s="47"/>
      <c r="AI144" s="53">
        <f t="shared" si="32"/>
        <v>41062</v>
      </c>
      <c r="AJ144" s="51"/>
      <c r="AK144" s="218">
        <f t="shared" si="31"/>
        <v>0</v>
      </c>
    </row>
    <row r="145" spans="1:38" s="36" customFormat="1" ht="15.75" x14ac:dyDescent="0.25">
      <c r="A145" s="113" t="s">
        <v>178</v>
      </c>
      <c r="B145" s="113" t="s">
        <v>179</v>
      </c>
      <c r="C145" s="52" t="s">
        <v>319</v>
      </c>
      <c r="D145" s="52" t="s">
        <v>319</v>
      </c>
      <c r="E145" s="52" t="s">
        <v>319</v>
      </c>
      <c r="F145" s="52" t="s">
        <v>319</v>
      </c>
      <c r="G145" s="52"/>
      <c r="H145" s="52" t="s">
        <v>319</v>
      </c>
      <c r="I145" s="52" t="s">
        <v>319</v>
      </c>
      <c r="J145" s="52" t="s">
        <v>319</v>
      </c>
      <c r="K145" s="52" t="s">
        <v>320</v>
      </c>
      <c r="L145" s="52" t="s">
        <v>319</v>
      </c>
      <c r="M145" s="52" t="s">
        <v>319</v>
      </c>
      <c r="N145" s="52"/>
      <c r="O145" s="52" t="s">
        <v>319</v>
      </c>
      <c r="P145" s="52" t="s">
        <v>319</v>
      </c>
      <c r="Q145" s="52" t="s">
        <v>319</v>
      </c>
      <c r="R145" s="86">
        <v>0</v>
      </c>
      <c r="S145" s="115">
        <v>0</v>
      </c>
      <c r="T145" s="115">
        <v>0</v>
      </c>
      <c r="U145" s="115">
        <v>0</v>
      </c>
      <c r="V145" s="115">
        <v>0</v>
      </c>
      <c r="W145" s="115">
        <v>0</v>
      </c>
      <c r="X145" s="115">
        <v>0</v>
      </c>
      <c r="Y145" s="115">
        <v>0</v>
      </c>
      <c r="Z145" s="115">
        <v>0</v>
      </c>
      <c r="AA145" s="115">
        <v>0</v>
      </c>
      <c r="AB145" s="115">
        <v>0</v>
      </c>
      <c r="AC145" s="58"/>
      <c r="AD145" s="58"/>
      <c r="AE145" s="58"/>
      <c r="AF145" s="58"/>
      <c r="AG145" s="53"/>
      <c r="AH145" s="47"/>
      <c r="AI145" s="53">
        <f t="shared" si="32"/>
        <v>0</v>
      </c>
      <c r="AJ145" s="51"/>
      <c r="AK145" s="218">
        <f t="shared" si="31"/>
        <v>0</v>
      </c>
    </row>
    <row r="146" spans="1:38" s="36" customFormat="1" ht="15.75" x14ac:dyDescent="0.25">
      <c r="A146" s="113" t="s">
        <v>544</v>
      </c>
      <c r="B146" s="113" t="s">
        <v>668</v>
      </c>
      <c r="C146" s="341" t="s">
        <v>563</v>
      </c>
      <c r="D146" s="341" t="s">
        <v>671</v>
      </c>
      <c r="E146" s="345" t="s">
        <v>691</v>
      </c>
      <c r="F146" s="52" t="s">
        <v>319</v>
      </c>
      <c r="G146" s="52"/>
      <c r="H146" s="52" t="s">
        <v>319</v>
      </c>
      <c r="I146" s="52" t="s">
        <v>319</v>
      </c>
      <c r="J146" s="52" t="s">
        <v>319</v>
      </c>
      <c r="K146" s="87" t="s">
        <v>320</v>
      </c>
      <c r="L146" s="52" t="s">
        <v>319</v>
      </c>
      <c r="M146" s="52" t="s">
        <v>319</v>
      </c>
      <c r="N146" s="87"/>
      <c r="O146" s="52" t="s">
        <v>319</v>
      </c>
      <c r="P146" s="52" t="s">
        <v>319</v>
      </c>
      <c r="Q146" s="52" t="s">
        <v>319</v>
      </c>
      <c r="R146" s="181">
        <v>15493</v>
      </c>
      <c r="S146" s="115">
        <v>0</v>
      </c>
      <c r="T146" s="115">
        <v>0</v>
      </c>
      <c r="U146" s="115">
        <v>0</v>
      </c>
      <c r="V146" s="115">
        <v>0</v>
      </c>
      <c r="W146" s="115">
        <v>0</v>
      </c>
      <c r="X146" s="115">
        <v>0</v>
      </c>
      <c r="Y146" s="115">
        <v>0</v>
      </c>
      <c r="Z146" s="115">
        <v>0</v>
      </c>
      <c r="AA146" s="115">
        <v>15493</v>
      </c>
      <c r="AB146" s="115">
        <v>0</v>
      </c>
      <c r="AC146" s="53"/>
      <c r="AD146" s="53"/>
      <c r="AE146" s="53"/>
      <c r="AF146" s="53"/>
      <c r="AG146" s="53"/>
      <c r="AH146" s="47"/>
      <c r="AI146" s="53">
        <f>SUM(S146:AH146)</f>
        <v>15493</v>
      </c>
      <c r="AJ146" s="51"/>
      <c r="AK146" s="218">
        <f t="shared" si="31"/>
        <v>0</v>
      </c>
    </row>
    <row r="147" spans="1:38" s="36" customFormat="1" ht="15.75" x14ac:dyDescent="0.25">
      <c r="A147" s="113" t="s">
        <v>747</v>
      </c>
      <c r="B147" s="35" t="s">
        <v>598</v>
      </c>
      <c r="C147" s="52" t="s">
        <v>319</v>
      </c>
      <c r="D147" s="52" t="s">
        <v>319</v>
      </c>
      <c r="E147" s="52" t="s">
        <v>319</v>
      </c>
      <c r="F147" s="52" t="s">
        <v>319</v>
      </c>
      <c r="G147" s="52"/>
      <c r="H147" s="52" t="s">
        <v>319</v>
      </c>
      <c r="I147" s="52" t="s">
        <v>319</v>
      </c>
      <c r="J147" s="52" t="s">
        <v>319</v>
      </c>
      <c r="K147" s="52" t="s">
        <v>320</v>
      </c>
      <c r="L147" s="52" t="s">
        <v>319</v>
      </c>
      <c r="M147" s="52" t="s">
        <v>319</v>
      </c>
      <c r="N147" s="52"/>
      <c r="O147" s="52" t="s">
        <v>319</v>
      </c>
      <c r="P147" s="52" t="s">
        <v>319</v>
      </c>
      <c r="Q147" s="52" t="s">
        <v>319</v>
      </c>
      <c r="R147" s="53">
        <v>0</v>
      </c>
      <c r="S147" s="115">
        <v>0</v>
      </c>
      <c r="T147" s="115">
        <v>0</v>
      </c>
      <c r="U147" s="115">
        <v>0</v>
      </c>
      <c r="V147" s="115">
        <v>0</v>
      </c>
      <c r="W147" s="115">
        <v>0</v>
      </c>
      <c r="X147" s="115">
        <v>0</v>
      </c>
      <c r="Y147" s="115">
        <v>0</v>
      </c>
      <c r="Z147" s="115">
        <v>0</v>
      </c>
      <c r="AA147" s="115">
        <v>0</v>
      </c>
      <c r="AB147" s="115">
        <v>0</v>
      </c>
      <c r="AC147" s="53"/>
      <c r="AD147" s="53"/>
      <c r="AE147" s="53"/>
      <c r="AF147" s="53"/>
      <c r="AG147" s="53"/>
      <c r="AH147" s="47"/>
      <c r="AI147" s="53">
        <f>SUM(S147:AH147)</f>
        <v>0</v>
      </c>
      <c r="AJ147" s="51"/>
      <c r="AK147" s="218">
        <f t="shared" si="31"/>
        <v>0</v>
      </c>
    </row>
    <row r="148" spans="1:38" s="36" customFormat="1" ht="15.75" x14ac:dyDescent="0.25">
      <c r="A148" s="113" t="s">
        <v>602</v>
      </c>
      <c r="B148" s="114" t="s">
        <v>603</v>
      </c>
      <c r="C148" s="52" t="s">
        <v>319</v>
      </c>
      <c r="D148" s="52" t="s">
        <v>319</v>
      </c>
      <c r="E148" s="52" t="s">
        <v>319</v>
      </c>
      <c r="F148" s="52" t="s">
        <v>319</v>
      </c>
      <c r="G148" s="52"/>
      <c r="H148" s="52" t="s">
        <v>319</v>
      </c>
      <c r="I148" s="52" t="s">
        <v>319</v>
      </c>
      <c r="J148" s="52" t="s">
        <v>319</v>
      </c>
      <c r="K148" s="52" t="s">
        <v>320</v>
      </c>
      <c r="L148" s="52" t="s">
        <v>319</v>
      </c>
      <c r="M148" s="52" t="s">
        <v>319</v>
      </c>
      <c r="N148" s="52"/>
      <c r="O148" s="52" t="s">
        <v>319</v>
      </c>
      <c r="P148" s="52" t="s">
        <v>319</v>
      </c>
      <c r="Q148" s="52" t="s">
        <v>319</v>
      </c>
      <c r="R148" s="53">
        <v>0</v>
      </c>
      <c r="S148" s="115">
        <v>0</v>
      </c>
      <c r="T148" s="115">
        <v>0</v>
      </c>
      <c r="U148" s="115">
        <v>0</v>
      </c>
      <c r="V148" s="115">
        <v>0</v>
      </c>
      <c r="W148" s="115">
        <v>0</v>
      </c>
      <c r="X148" s="115">
        <v>0</v>
      </c>
      <c r="Y148" s="115">
        <v>0</v>
      </c>
      <c r="Z148" s="115">
        <v>0</v>
      </c>
      <c r="AA148" s="115">
        <v>0</v>
      </c>
      <c r="AB148" s="115">
        <v>0</v>
      </c>
      <c r="AC148" s="53"/>
      <c r="AD148" s="53"/>
      <c r="AE148" s="53"/>
      <c r="AF148" s="58"/>
      <c r="AG148" s="53"/>
      <c r="AH148" s="47"/>
      <c r="AI148" s="53">
        <f>SUM(S148:AH148)</f>
        <v>0</v>
      </c>
      <c r="AJ148" s="51"/>
      <c r="AK148" s="218">
        <f t="shared" si="31"/>
        <v>0</v>
      </c>
    </row>
    <row r="149" spans="1:38" s="36" customFormat="1" ht="15.75" x14ac:dyDescent="0.25">
      <c r="A149" s="34" t="s">
        <v>210</v>
      </c>
      <c r="B149" s="35" t="s">
        <v>211</v>
      </c>
      <c r="C149" s="52" t="s">
        <v>165</v>
      </c>
      <c r="D149" s="52" t="s">
        <v>165</v>
      </c>
      <c r="E149" s="52" t="s">
        <v>165</v>
      </c>
      <c r="F149" s="52" t="s">
        <v>165</v>
      </c>
      <c r="G149" s="52"/>
      <c r="H149" s="52" t="s">
        <v>165</v>
      </c>
      <c r="I149" s="52" t="s">
        <v>165</v>
      </c>
      <c r="J149" s="52" t="s">
        <v>165</v>
      </c>
      <c r="K149" s="52" t="s">
        <v>320</v>
      </c>
      <c r="L149" s="52" t="s">
        <v>165</v>
      </c>
      <c r="M149" s="52" t="s">
        <v>165</v>
      </c>
      <c r="N149" s="52"/>
      <c r="O149" s="52" t="s">
        <v>165</v>
      </c>
      <c r="P149" s="52" t="s">
        <v>165</v>
      </c>
      <c r="Q149" s="52" t="s">
        <v>165</v>
      </c>
      <c r="R149" s="86">
        <v>0</v>
      </c>
      <c r="S149" s="115">
        <v>0</v>
      </c>
      <c r="T149" s="115">
        <v>0</v>
      </c>
      <c r="U149" s="115">
        <v>0</v>
      </c>
      <c r="V149" s="115">
        <v>0</v>
      </c>
      <c r="W149" s="115">
        <v>0</v>
      </c>
      <c r="X149" s="115">
        <v>0</v>
      </c>
      <c r="Y149" s="115">
        <v>0</v>
      </c>
      <c r="Z149" s="115">
        <v>0</v>
      </c>
      <c r="AA149" s="115">
        <v>0</v>
      </c>
      <c r="AB149" s="115">
        <v>0</v>
      </c>
      <c r="AC149" s="53"/>
      <c r="AD149" s="53"/>
      <c r="AE149" s="53"/>
      <c r="AF149" s="53"/>
      <c r="AG149" s="53"/>
      <c r="AH149" s="47"/>
      <c r="AI149" s="53">
        <f t="shared" si="32"/>
        <v>0</v>
      </c>
      <c r="AJ149" s="51"/>
      <c r="AK149" s="218">
        <f t="shared" si="31"/>
        <v>0</v>
      </c>
    </row>
    <row r="150" spans="1:38" s="36" customFormat="1" ht="15.75" x14ac:dyDescent="0.25">
      <c r="A150" s="104" t="s">
        <v>337</v>
      </c>
      <c r="B150" s="105" t="s">
        <v>422</v>
      </c>
      <c r="C150" s="52" t="s">
        <v>319</v>
      </c>
      <c r="D150" s="87" t="s">
        <v>319</v>
      </c>
      <c r="E150" s="87" t="s">
        <v>319</v>
      </c>
      <c r="F150" s="87" t="s">
        <v>319</v>
      </c>
      <c r="G150" s="87"/>
      <c r="H150" s="87" t="s">
        <v>319</v>
      </c>
      <c r="I150" s="87" t="s">
        <v>319</v>
      </c>
      <c r="J150" s="87" t="s">
        <v>319</v>
      </c>
      <c r="K150" s="87" t="s">
        <v>320</v>
      </c>
      <c r="L150" s="52" t="s">
        <v>319</v>
      </c>
      <c r="M150" s="52" t="s">
        <v>319</v>
      </c>
      <c r="N150" s="52"/>
      <c r="O150" s="52" t="s">
        <v>319</v>
      </c>
      <c r="P150" s="52" t="s">
        <v>319</v>
      </c>
      <c r="Q150" s="52" t="s">
        <v>319</v>
      </c>
      <c r="R150" s="181">
        <v>37392</v>
      </c>
      <c r="S150" s="115">
        <v>0</v>
      </c>
      <c r="T150" s="115">
        <v>0</v>
      </c>
      <c r="U150" s="115">
        <v>37392</v>
      </c>
      <c r="V150" s="115">
        <v>0</v>
      </c>
      <c r="W150" s="115">
        <v>0</v>
      </c>
      <c r="X150" s="115">
        <v>0</v>
      </c>
      <c r="Y150" s="115">
        <v>0</v>
      </c>
      <c r="Z150" s="115">
        <v>0</v>
      </c>
      <c r="AA150" s="115">
        <v>0</v>
      </c>
      <c r="AB150" s="115">
        <v>0</v>
      </c>
      <c r="AC150" s="58"/>
      <c r="AD150" s="58"/>
      <c r="AE150" s="58"/>
      <c r="AF150" s="53"/>
      <c r="AG150" s="53"/>
      <c r="AH150" s="47"/>
      <c r="AI150" s="53">
        <f t="shared" si="32"/>
        <v>37392</v>
      </c>
      <c r="AJ150" s="51"/>
      <c r="AK150" s="218">
        <f t="shared" si="31"/>
        <v>0</v>
      </c>
    </row>
    <row r="151" spans="1:38" s="36" customFormat="1" ht="15.75" x14ac:dyDescent="0.25">
      <c r="A151" s="283" t="s">
        <v>340</v>
      </c>
      <c r="B151" s="56" t="s">
        <v>429</v>
      </c>
      <c r="C151" s="52" t="s">
        <v>319</v>
      </c>
      <c r="D151" s="87" t="s">
        <v>319</v>
      </c>
      <c r="E151" s="87" t="s">
        <v>319</v>
      </c>
      <c r="F151" s="87" t="s">
        <v>319</v>
      </c>
      <c r="G151" s="87"/>
      <c r="H151" s="87" t="s">
        <v>319</v>
      </c>
      <c r="I151" s="87" t="s">
        <v>319</v>
      </c>
      <c r="J151" s="87" t="s">
        <v>319</v>
      </c>
      <c r="K151" s="52" t="s">
        <v>320</v>
      </c>
      <c r="L151" s="52" t="s">
        <v>319</v>
      </c>
      <c r="M151" s="87" t="s">
        <v>319</v>
      </c>
      <c r="N151" s="87"/>
      <c r="O151" s="52" t="s">
        <v>319</v>
      </c>
      <c r="P151" s="52" t="s">
        <v>319</v>
      </c>
      <c r="Q151" s="52" t="s">
        <v>319</v>
      </c>
      <c r="R151" s="182">
        <v>3575</v>
      </c>
      <c r="S151" s="115">
        <v>0</v>
      </c>
      <c r="T151" s="115">
        <v>0</v>
      </c>
      <c r="U151" s="115">
        <v>3575</v>
      </c>
      <c r="V151" s="115">
        <v>0</v>
      </c>
      <c r="W151" s="115">
        <v>0</v>
      </c>
      <c r="X151" s="115">
        <v>0</v>
      </c>
      <c r="Y151" s="115">
        <v>0</v>
      </c>
      <c r="Z151" s="115">
        <v>0</v>
      </c>
      <c r="AA151" s="115">
        <v>0</v>
      </c>
      <c r="AB151" s="115">
        <v>0</v>
      </c>
      <c r="AC151" s="58"/>
      <c r="AD151" s="58"/>
      <c r="AE151" s="58"/>
      <c r="AF151" s="58"/>
      <c r="AG151" s="53"/>
      <c r="AH151" s="47"/>
      <c r="AI151" s="53">
        <f t="shared" si="32"/>
        <v>3575</v>
      </c>
      <c r="AJ151" s="51"/>
      <c r="AK151" s="218">
        <f t="shared" si="31"/>
        <v>0</v>
      </c>
    </row>
    <row r="152" spans="1:38" s="36" customFormat="1" ht="15.75" x14ac:dyDescent="0.25">
      <c r="A152" s="93"/>
      <c r="B152" s="94"/>
      <c r="C152" s="91"/>
      <c r="D152" s="91"/>
      <c r="E152" s="94"/>
      <c r="F152" s="91"/>
      <c r="G152" s="91"/>
      <c r="H152" s="91"/>
      <c r="I152" s="91"/>
      <c r="J152" s="92"/>
      <c r="K152" s="91"/>
      <c r="L152" s="91"/>
      <c r="M152" s="91"/>
      <c r="N152" s="91"/>
      <c r="O152" s="92"/>
      <c r="P152" s="92"/>
      <c r="Q152" s="92"/>
      <c r="R152" s="243">
        <f t="shared" ref="R152:AG152" si="33">SUM(R134:R151)</f>
        <v>897825</v>
      </c>
      <c r="S152" s="243">
        <f t="shared" si="33"/>
        <v>122184</v>
      </c>
      <c r="T152" s="243">
        <f t="shared" si="33"/>
        <v>353138</v>
      </c>
      <c r="U152" s="243">
        <f t="shared" si="33"/>
        <v>171135</v>
      </c>
      <c r="V152" s="243">
        <f t="shared" si="33"/>
        <v>0</v>
      </c>
      <c r="W152" s="243">
        <f t="shared" si="33"/>
        <v>155902</v>
      </c>
      <c r="X152" s="243">
        <f t="shared" si="33"/>
        <v>74336</v>
      </c>
      <c r="Y152" s="243">
        <f t="shared" si="33"/>
        <v>0</v>
      </c>
      <c r="Z152" s="243">
        <f t="shared" si="33"/>
        <v>5637</v>
      </c>
      <c r="AA152" s="243">
        <f t="shared" si="33"/>
        <v>15493</v>
      </c>
      <c r="AB152" s="243">
        <f t="shared" si="33"/>
        <v>0</v>
      </c>
      <c r="AC152" s="243">
        <f t="shared" si="33"/>
        <v>0</v>
      </c>
      <c r="AD152" s="243">
        <f t="shared" si="33"/>
        <v>0</v>
      </c>
      <c r="AE152" s="243">
        <f t="shared" si="33"/>
        <v>0</v>
      </c>
      <c r="AF152" s="243">
        <f t="shared" si="33"/>
        <v>0</v>
      </c>
      <c r="AG152" s="243">
        <f t="shared" si="33"/>
        <v>0</v>
      </c>
      <c r="AH152" s="47"/>
      <c r="AI152" s="53">
        <f t="shared" si="32"/>
        <v>897825</v>
      </c>
      <c r="AJ152" s="51"/>
      <c r="AK152" s="218">
        <f t="shared" si="31"/>
        <v>0</v>
      </c>
    </row>
    <row r="153" spans="1:38" s="36" customFormat="1" ht="16.5" thickBot="1" x14ac:dyDescent="0.3">
      <c r="A153" s="34"/>
      <c r="B153" s="35"/>
      <c r="C153" s="52"/>
      <c r="D153" s="52"/>
      <c r="E153" s="35"/>
      <c r="F153" s="52"/>
      <c r="G153" s="52"/>
      <c r="H153" s="52"/>
      <c r="I153" s="52"/>
      <c r="J153" s="50"/>
      <c r="K153" s="52"/>
      <c r="L153" s="52"/>
      <c r="M153" s="141"/>
      <c r="N153" s="141"/>
      <c r="O153" s="142"/>
      <c r="P153" s="142"/>
      <c r="Q153" s="142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4"/>
      <c r="AI153" s="143"/>
      <c r="AJ153" s="145"/>
      <c r="AK153" s="218">
        <f t="shared" si="31"/>
        <v>0</v>
      </c>
    </row>
    <row r="154" spans="1:38" s="36" customFormat="1" ht="16.5" thickBot="1" x14ac:dyDescent="0.3">
      <c r="C154" s="37"/>
      <c r="D154" s="37"/>
      <c r="F154" s="37"/>
      <c r="G154" s="37"/>
      <c r="H154" s="293"/>
      <c r="I154" s="293"/>
      <c r="J154" s="38"/>
      <c r="K154" s="37"/>
      <c r="L154" s="37"/>
      <c r="M154" s="338"/>
      <c r="N154" s="70"/>
      <c r="O154" s="148" t="s">
        <v>445</v>
      </c>
      <c r="P154" s="148"/>
      <c r="Q154" s="148"/>
      <c r="R154" s="149">
        <f t="shared" ref="R154:AG154" si="34">R21+R26+R38+R47+R52+R56+R63+R66+R84+R42+R132+R152+R87</f>
        <v>129419915</v>
      </c>
      <c r="S154" s="149">
        <f t="shared" si="34"/>
        <v>13135775</v>
      </c>
      <c r="T154" s="149">
        <f t="shared" si="34"/>
        <v>4162260</v>
      </c>
      <c r="U154" s="149">
        <f t="shared" si="34"/>
        <v>2539811</v>
      </c>
      <c r="V154" s="149">
        <f t="shared" si="34"/>
        <v>3804063</v>
      </c>
      <c r="W154" s="149">
        <f t="shared" si="34"/>
        <v>4027943</v>
      </c>
      <c r="X154" s="149">
        <f t="shared" si="34"/>
        <v>3386920</v>
      </c>
      <c r="Y154" s="149">
        <f t="shared" si="34"/>
        <v>4748195</v>
      </c>
      <c r="Z154" s="149">
        <f t="shared" si="34"/>
        <v>3019590</v>
      </c>
      <c r="AA154" s="149">
        <f t="shared" si="34"/>
        <v>6352244</v>
      </c>
      <c r="AB154" s="149">
        <f>AB21+AB26+AB38+AB47+AB52+AB56+AB63+AB66+AB84+AB42+AB132+AB152+AB87</f>
        <v>3425694.15</v>
      </c>
      <c r="AC154" s="149">
        <f t="shared" si="34"/>
        <v>4771067</v>
      </c>
      <c r="AD154" s="149">
        <f t="shared" si="34"/>
        <v>4659070</v>
      </c>
      <c r="AE154" s="149">
        <f t="shared" si="34"/>
        <v>4028635</v>
      </c>
      <c r="AF154" s="149">
        <f t="shared" si="34"/>
        <v>54902172</v>
      </c>
      <c r="AG154" s="149">
        <f t="shared" si="34"/>
        <v>7000000</v>
      </c>
      <c r="AH154" s="150"/>
      <c r="AI154" s="152">
        <f>SUM(S154:AH154)</f>
        <v>123963439.15000001</v>
      </c>
      <c r="AJ154" s="153"/>
      <c r="AK154" s="218">
        <f t="shared" si="31"/>
        <v>-5456475.849999994</v>
      </c>
      <c r="AL154" s="55"/>
    </row>
    <row r="155" spans="1:38" s="90" customFormat="1" ht="15.75" x14ac:dyDescent="0.25">
      <c r="C155" s="122"/>
      <c r="D155" s="122"/>
      <c r="F155" s="122"/>
      <c r="G155" s="122"/>
      <c r="H155" s="295"/>
      <c r="I155" s="295"/>
      <c r="J155" s="296"/>
      <c r="K155" s="122"/>
      <c r="L155" s="122"/>
      <c r="M155" s="123"/>
      <c r="N155" s="123"/>
      <c r="O155" s="124"/>
      <c r="P155" s="124"/>
      <c r="Q155" s="124"/>
      <c r="R155" s="124" t="s">
        <v>405</v>
      </c>
      <c r="S155" s="125">
        <v>14657045</v>
      </c>
      <c r="T155" s="128">
        <v>2798117.1428571427</v>
      </c>
      <c r="U155" s="128">
        <v>3206824.6428571427</v>
      </c>
      <c r="V155" s="128">
        <v>4008392.6428571427</v>
      </c>
      <c r="W155" s="128">
        <v>4318997.6428571427</v>
      </c>
      <c r="X155" s="128">
        <v>5069566.6428571418</v>
      </c>
      <c r="Y155" s="128">
        <v>5575814.6428571418</v>
      </c>
      <c r="Z155" s="128">
        <v>5314704.6428571418</v>
      </c>
      <c r="AA155" s="128">
        <v>5476840</v>
      </c>
      <c r="AB155" s="128">
        <v>5359959</v>
      </c>
      <c r="AC155" s="128">
        <v>6173564</v>
      </c>
      <c r="AD155" s="128">
        <v>5501722</v>
      </c>
      <c r="AE155" s="128">
        <v>3866535</v>
      </c>
      <c r="AF155" s="125">
        <v>16008105</v>
      </c>
      <c r="AG155" s="125"/>
      <c r="AH155" s="146"/>
      <c r="AI155" s="125"/>
      <c r="AJ155" s="126"/>
      <c r="AK155" s="273"/>
    </row>
    <row r="156" spans="1:38" ht="15.75" x14ac:dyDescent="0.25">
      <c r="M156" s="75"/>
      <c r="N156" s="75"/>
      <c r="R156" s="38" t="s">
        <v>406</v>
      </c>
      <c r="S156" s="128">
        <f>S154-S155</f>
        <v>-1521270</v>
      </c>
      <c r="T156" s="128">
        <f>T154-T155</f>
        <v>1364142.8571428573</v>
      </c>
      <c r="U156" s="128">
        <f t="shared" ref="U156:AE156" si="35">U154-U155</f>
        <v>-667013.64285714272</v>
      </c>
      <c r="V156" s="128">
        <f t="shared" si="35"/>
        <v>-204329.64285714272</v>
      </c>
      <c r="W156" s="128">
        <f t="shared" si="35"/>
        <v>-291054.64285714272</v>
      </c>
      <c r="X156" s="128">
        <f t="shared" si="35"/>
        <v>-1682646.6428571418</v>
      </c>
      <c r="Y156" s="128">
        <f t="shared" si="35"/>
        <v>-827619.64285714179</v>
      </c>
      <c r="Z156" s="128">
        <f t="shared" si="35"/>
        <v>-2295114.6428571418</v>
      </c>
      <c r="AA156" s="128">
        <f t="shared" si="35"/>
        <v>875404</v>
      </c>
      <c r="AB156" s="128">
        <f t="shared" si="35"/>
        <v>-1934264.85</v>
      </c>
      <c r="AC156" s="128">
        <f t="shared" si="35"/>
        <v>-1402497</v>
      </c>
      <c r="AD156" s="128">
        <f t="shared" si="35"/>
        <v>-842652</v>
      </c>
      <c r="AE156" s="128">
        <f t="shared" si="35"/>
        <v>162100</v>
      </c>
      <c r="AF156" s="125"/>
      <c r="AG156" s="125"/>
      <c r="AH156" s="47"/>
      <c r="AI156" s="76"/>
      <c r="AJ156" s="77"/>
      <c r="AK156" s="273"/>
    </row>
    <row r="157" spans="1:38" ht="15.75" x14ac:dyDescent="0.25">
      <c r="R157" s="38"/>
      <c r="T157" s="278"/>
      <c r="U157" s="130"/>
      <c r="V157" s="130"/>
      <c r="W157" s="133"/>
      <c r="X157" s="133"/>
      <c r="Y157" s="133"/>
      <c r="Z157" s="130"/>
      <c r="AA157" s="130"/>
      <c r="AB157" s="130"/>
      <c r="AC157" s="130"/>
      <c r="AD157" s="130"/>
      <c r="AE157" s="278"/>
      <c r="AF157" s="278"/>
      <c r="AG157" s="130"/>
      <c r="AH157" s="47"/>
      <c r="AK157" s="274"/>
    </row>
    <row r="158" spans="1:38" ht="15.75" x14ac:dyDescent="0.25">
      <c r="R158" s="38" t="s">
        <v>407</v>
      </c>
      <c r="T158" s="140">
        <v>2897650</v>
      </c>
      <c r="U158" s="136">
        <v>3085444</v>
      </c>
      <c r="V158" s="136">
        <v>3369732</v>
      </c>
      <c r="W158" s="133"/>
      <c r="X158" s="133"/>
      <c r="Y158" s="133"/>
      <c r="Z158" s="130"/>
      <c r="AA158" s="130"/>
      <c r="AB158" s="130"/>
      <c r="AC158" s="130"/>
      <c r="AD158" s="130"/>
      <c r="AE158" s="278"/>
      <c r="AF158" s="278"/>
      <c r="AG158" s="130"/>
      <c r="AH158" s="47"/>
      <c r="AK158" s="274"/>
    </row>
    <row r="159" spans="1:38" ht="15.75" x14ac:dyDescent="0.25">
      <c r="R159" s="38" t="s">
        <v>408</v>
      </c>
      <c r="T159" s="278">
        <f>(T155*0.9)*0.887</f>
        <v>2233736.915142857</v>
      </c>
      <c r="U159" s="130">
        <f t="shared" ref="U159:AF159" si="36">(U155*0.9)*0.887</f>
        <v>2560008.1123928572</v>
      </c>
      <c r="V159" s="130">
        <f t="shared" si="36"/>
        <v>3199899.8467928572</v>
      </c>
      <c r="W159" s="130">
        <f t="shared" si="36"/>
        <v>3447855.8182928571</v>
      </c>
      <c r="X159" s="130">
        <f t="shared" si="36"/>
        <v>4047035.0509928567</v>
      </c>
      <c r="Y159" s="130">
        <f t="shared" si="36"/>
        <v>4451172.8293928569</v>
      </c>
      <c r="Z159" s="130">
        <f t="shared" si="36"/>
        <v>4242728.716392857</v>
      </c>
      <c r="AA159" s="130">
        <f t="shared" si="36"/>
        <v>4372161.3720000004</v>
      </c>
      <c r="AB159" s="130">
        <f t="shared" si="36"/>
        <v>4278855.269700001</v>
      </c>
      <c r="AC159" s="130">
        <f t="shared" si="36"/>
        <v>4928356.1412000004</v>
      </c>
      <c r="AD159" s="130">
        <f t="shared" si="36"/>
        <v>4392024.6726000002</v>
      </c>
      <c r="AE159" s="278">
        <f t="shared" si="36"/>
        <v>3086654.8905000002</v>
      </c>
      <c r="AF159" s="278">
        <f t="shared" si="36"/>
        <v>12779270.2215</v>
      </c>
      <c r="AG159" s="130"/>
      <c r="AH159" s="47"/>
      <c r="AK159" s="274"/>
    </row>
    <row r="160" spans="1:38" ht="15.75" x14ac:dyDescent="0.25">
      <c r="R160" s="38" t="s">
        <v>406</v>
      </c>
      <c r="T160" s="278">
        <f>T158-T159</f>
        <v>663913.084857143</v>
      </c>
      <c r="U160" s="130">
        <f>U158-U159</f>
        <v>525435.88760714279</v>
      </c>
      <c r="V160" s="130">
        <f>V158-V159</f>
        <v>169832.15320714284</v>
      </c>
      <c r="W160" s="130"/>
      <c r="X160" s="130"/>
      <c r="Y160" s="130"/>
      <c r="Z160" s="130"/>
      <c r="AA160" s="130"/>
      <c r="AB160" s="130"/>
      <c r="AC160" s="130"/>
      <c r="AD160" s="130"/>
      <c r="AE160" s="278"/>
      <c r="AF160" s="278"/>
      <c r="AG160" s="130"/>
      <c r="AH160" s="47"/>
      <c r="AK160" s="274"/>
    </row>
    <row r="161" spans="1:37" ht="15.75" x14ac:dyDescent="0.25">
      <c r="R161" s="38"/>
      <c r="T161" s="278"/>
      <c r="U161" s="130"/>
      <c r="V161" s="130"/>
      <c r="W161" s="133"/>
      <c r="X161" s="133"/>
      <c r="Y161" s="133"/>
      <c r="Z161" s="130"/>
      <c r="AA161" s="130"/>
      <c r="AB161" s="130"/>
      <c r="AC161" s="130"/>
      <c r="AD161" s="130"/>
      <c r="AE161" s="278"/>
      <c r="AF161" s="278"/>
      <c r="AG161" s="130"/>
      <c r="AH161" s="47"/>
      <c r="AK161" s="274"/>
    </row>
    <row r="162" spans="1:37" ht="15.75" x14ac:dyDescent="0.25">
      <c r="R162" s="38" t="s">
        <v>409</v>
      </c>
      <c r="T162" s="140">
        <v>261214</v>
      </c>
      <c r="U162" s="136">
        <v>325090</v>
      </c>
      <c r="V162" s="136">
        <v>157521</v>
      </c>
      <c r="W162" s="133"/>
      <c r="X162" s="133"/>
      <c r="Y162" s="133"/>
      <c r="Z162" s="130"/>
      <c r="AA162" s="130"/>
      <c r="AB162" s="130"/>
      <c r="AC162" s="130"/>
      <c r="AD162" s="130"/>
      <c r="AE162" s="278"/>
      <c r="AF162" s="278"/>
      <c r="AG162" s="130"/>
      <c r="AH162" s="47"/>
      <c r="AK162" s="274"/>
    </row>
    <row r="163" spans="1:37" ht="15.75" x14ac:dyDescent="0.25">
      <c r="R163" s="38" t="s">
        <v>410</v>
      </c>
      <c r="T163" s="278">
        <f t="shared" ref="T163:AE163" si="37">(T155*0.877)*0.1</f>
        <v>245394.87342857142</v>
      </c>
      <c r="U163" s="130">
        <f t="shared" si="37"/>
        <v>281238.52117857145</v>
      </c>
      <c r="V163" s="130">
        <f t="shared" si="37"/>
        <v>351536.03477857145</v>
      </c>
      <c r="W163" s="130">
        <f t="shared" si="37"/>
        <v>378776.09327857144</v>
      </c>
      <c r="X163" s="130">
        <f t="shared" si="37"/>
        <v>444600.99457857135</v>
      </c>
      <c r="Y163" s="130">
        <f t="shared" si="37"/>
        <v>488998.9441785714</v>
      </c>
      <c r="Z163" s="130">
        <f t="shared" si="37"/>
        <v>466099.59717857133</v>
      </c>
      <c r="AA163" s="130">
        <f t="shared" si="37"/>
        <v>480318.86800000002</v>
      </c>
      <c r="AB163" s="130">
        <f t="shared" si="37"/>
        <v>470068.40429999999</v>
      </c>
      <c r="AC163" s="130">
        <f t="shared" si="37"/>
        <v>541421.56279999996</v>
      </c>
      <c r="AD163" s="130">
        <f t="shared" si="37"/>
        <v>482501.01940000005</v>
      </c>
      <c r="AE163" s="278">
        <f t="shared" si="37"/>
        <v>339095.11950000003</v>
      </c>
      <c r="AF163" s="278">
        <f>(AF155*0.877)*0.1</f>
        <v>1403910.8085000003</v>
      </c>
      <c r="AG163" s="130"/>
      <c r="AH163" s="47"/>
      <c r="AK163" s="274"/>
    </row>
    <row r="164" spans="1:37" ht="15.75" x14ac:dyDescent="0.25">
      <c r="M164" s="75"/>
      <c r="N164" s="75"/>
      <c r="R164" s="38" t="s">
        <v>406</v>
      </c>
      <c r="S164" s="125"/>
      <c r="T164" s="128">
        <f>T162-T163</f>
        <v>15819.126571428584</v>
      </c>
      <c r="U164" s="128">
        <f>U162-U163</f>
        <v>43851.478821428551</v>
      </c>
      <c r="V164" s="128">
        <f>V162-V163</f>
        <v>-194015.03477857145</v>
      </c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5"/>
      <c r="AG164" s="125"/>
      <c r="AH164" s="47"/>
      <c r="AI164" s="76"/>
      <c r="AJ164" s="77"/>
      <c r="AK164" s="273"/>
    </row>
    <row r="165" spans="1:37" ht="15.75" x14ac:dyDescent="0.25">
      <c r="M165" s="75"/>
      <c r="N165" s="75"/>
      <c r="R165" s="38"/>
      <c r="S165" s="125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5"/>
      <c r="AG165" s="125"/>
      <c r="AH165" s="47"/>
      <c r="AI165" s="76"/>
      <c r="AJ165" s="77"/>
      <c r="AK165" s="273"/>
    </row>
    <row r="166" spans="1:37" ht="15.75" x14ac:dyDescent="0.25">
      <c r="M166" s="75"/>
      <c r="N166" s="75"/>
      <c r="R166" s="38" t="s">
        <v>411</v>
      </c>
      <c r="S166" s="125"/>
      <c r="T166" s="139">
        <v>9.01E-2</v>
      </c>
      <c r="U166" s="139">
        <v>0.10539999999999999</v>
      </c>
      <c r="V166" s="139">
        <v>4.6699999999999998E-2</v>
      </c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25"/>
      <c r="AG166" s="125"/>
      <c r="AH166" s="47"/>
      <c r="AI166" s="76"/>
      <c r="AJ166" s="77"/>
      <c r="AK166" s="273"/>
    </row>
    <row r="167" spans="1:37" ht="15.75" x14ac:dyDescent="0.25">
      <c r="M167" s="75"/>
      <c r="N167" s="75"/>
      <c r="R167" s="38" t="s">
        <v>412</v>
      </c>
      <c r="S167" s="125"/>
      <c r="T167" s="137">
        <v>0.1</v>
      </c>
      <c r="U167" s="137">
        <v>0.1</v>
      </c>
      <c r="V167" s="137">
        <v>0.1</v>
      </c>
      <c r="W167" s="137">
        <v>0.1</v>
      </c>
      <c r="X167" s="137">
        <v>0.1</v>
      </c>
      <c r="Y167" s="137">
        <v>0.1</v>
      </c>
      <c r="Z167" s="137">
        <v>0.1</v>
      </c>
      <c r="AA167" s="137">
        <v>0.1</v>
      </c>
      <c r="AB167" s="137">
        <v>0.1</v>
      </c>
      <c r="AC167" s="137">
        <v>0.1</v>
      </c>
      <c r="AD167" s="137">
        <v>0.1</v>
      </c>
      <c r="AE167" s="137">
        <v>0.1</v>
      </c>
      <c r="AF167" s="137">
        <v>0.1</v>
      </c>
      <c r="AG167" s="125"/>
      <c r="AH167" s="47"/>
      <c r="AI167" s="76"/>
      <c r="AJ167" s="77"/>
      <c r="AK167" s="273"/>
    </row>
    <row r="168" spans="1:37" ht="15.75" x14ac:dyDescent="0.25">
      <c r="M168" s="75"/>
      <c r="N168" s="75"/>
      <c r="R168" s="38" t="s">
        <v>406</v>
      </c>
      <c r="S168" s="125"/>
      <c r="T168" s="138">
        <f>T166-T167</f>
        <v>-9.900000000000006E-3</v>
      </c>
      <c r="U168" s="138">
        <f>U166-U167</f>
        <v>5.3999999999999881E-3</v>
      </c>
      <c r="V168" s="138">
        <f>V166-V167</f>
        <v>-5.3300000000000007E-2</v>
      </c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25"/>
      <c r="AG168" s="125"/>
      <c r="AH168" s="47"/>
      <c r="AI168" s="76"/>
      <c r="AJ168" s="77"/>
      <c r="AK168" s="273"/>
    </row>
    <row r="169" spans="1:37" ht="15.75" x14ac:dyDescent="0.25">
      <c r="R169" s="38"/>
      <c r="T169" s="278"/>
      <c r="U169" s="130"/>
      <c r="V169" s="130"/>
      <c r="W169" s="133"/>
      <c r="X169" s="133"/>
      <c r="Y169" s="133"/>
      <c r="Z169" s="130"/>
      <c r="AA169" s="130"/>
      <c r="AB169" s="130"/>
      <c r="AC169" s="130"/>
      <c r="AD169" s="130"/>
      <c r="AE169" s="278"/>
      <c r="AF169" s="278"/>
      <c r="AG169" s="130"/>
      <c r="AH169" s="47"/>
      <c r="AK169" s="274"/>
    </row>
    <row r="170" spans="1:37" ht="15.75" x14ac:dyDescent="0.25">
      <c r="R170" s="38" t="s">
        <v>413</v>
      </c>
      <c r="T170" s="140">
        <v>256248</v>
      </c>
      <c r="U170" s="201">
        <v>250107</v>
      </c>
      <c r="V170" s="202">
        <v>305940</v>
      </c>
      <c r="W170" s="131"/>
      <c r="X170" s="133"/>
      <c r="Y170" s="133"/>
      <c r="Z170" s="130"/>
      <c r="AA170" s="130"/>
      <c r="AB170" s="130"/>
      <c r="AC170" s="130"/>
      <c r="AD170" s="130"/>
      <c r="AE170" s="278"/>
      <c r="AF170" s="278"/>
      <c r="AG170" s="130"/>
      <c r="AH170" s="47"/>
      <c r="AK170" s="274"/>
    </row>
    <row r="171" spans="1:37" ht="15.75" x14ac:dyDescent="0.25">
      <c r="R171" s="38" t="s">
        <v>414</v>
      </c>
      <c r="T171" s="131">
        <v>275000</v>
      </c>
      <c r="U171" s="131">
        <v>275000</v>
      </c>
      <c r="V171" s="131">
        <v>275000</v>
      </c>
      <c r="W171" s="131">
        <v>293000</v>
      </c>
      <c r="X171" s="131">
        <v>293000</v>
      </c>
      <c r="Y171" s="131">
        <v>293000</v>
      </c>
      <c r="Z171" s="131">
        <v>300000</v>
      </c>
      <c r="AA171" s="131">
        <v>300000</v>
      </c>
      <c r="AB171" s="131">
        <v>300000</v>
      </c>
      <c r="AC171" s="131">
        <v>300000</v>
      </c>
      <c r="AD171" s="131">
        <v>300000</v>
      </c>
      <c r="AE171" s="131">
        <v>300000</v>
      </c>
      <c r="AF171" s="131">
        <v>300000</v>
      </c>
      <c r="AG171" s="130"/>
      <c r="AH171" s="47"/>
      <c r="AK171" s="274"/>
    </row>
    <row r="172" spans="1:37" ht="15.75" x14ac:dyDescent="0.25">
      <c r="M172" s="75"/>
      <c r="N172" s="75"/>
      <c r="R172" s="38" t="s">
        <v>406</v>
      </c>
      <c r="S172" s="125"/>
      <c r="T172" s="128">
        <f>T171-T170</f>
        <v>18752</v>
      </c>
      <c r="U172" s="128">
        <f>U171-U170</f>
        <v>24893</v>
      </c>
      <c r="V172" s="128">
        <f>V171-V170</f>
        <v>-30940</v>
      </c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5"/>
      <c r="AG172" s="125"/>
      <c r="AH172" s="47"/>
      <c r="AI172" s="76"/>
      <c r="AJ172" s="77"/>
      <c r="AK172" s="90"/>
    </row>
    <row r="173" spans="1:37" ht="15.75" x14ac:dyDescent="0.25">
      <c r="R173" s="38"/>
      <c r="T173" s="131"/>
      <c r="U173" s="134"/>
      <c r="V173" s="135"/>
      <c r="W173" s="131"/>
      <c r="X173" s="133"/>
      <c r="Y173" s="133"/>
      <c r="Z173" s="130"/>
      <c r="AA173" s="130"/>
      <c r="AB173" s="130"/>
      <c r="AC173" s="130"/>
      <c r="AD173" s="130"/>
      <c r="AE173" s="278"/>
      <c r="AF173" s="278"/>
      <c r="AG173" s="130"/>
      <c r="AH173" s="47"/>
    </row>
    <row r="174" spans="1:37" s="78" customFormat="1" ht="15.75" x14ac:dyDescent="0.25">
      <c r="A174"/>
      <c r="B174"/>
      <c r="C174" s="74"/>
      <c r="D174" s="74"/>
      <c r="E174"/>
      <c r="F174" s="74"/>
      <c r="G174" s="74"/>
      <c r="H174" s="295"/>
      <c r="I174" s="295"/>
      <c r="J174" s="296"/>
      <c r="K174" s="74"/>
      <c r="L174" s="74"/>
      <c r="M174" s="74"/>
      <c r="N174" s="74"/>
      <c r="O174" s="38"/>
      <c r="P174" s="38"/>
      <c r="Q174" s="38"/>
      <c r="R174" s="38"/>
      <c r="S174" s="278"/>
      <c r="T174" s="131"/>
      <c r="U174" s="134"/>
      <c r="V174" s="135"/>
      <c r="W174" s="131"/>
      <c r="X174" s="133"/>
      <c r="Y174" s="133"/>
      <c r="Z174" s="130"/>
      <c r="AA174" s="130"/>
      <c r="AB174" s="130"/>
      <c r="AC174" s="130"/>
      <c r="AD174" s="130"/>
      <c r="AE174" s="278"/>
      <c r="AF174" s="278"/>
      <c r="AG174" s="130"/>
      <c r="AH174" s="47"/>
      <c r="AJ174" s="79"/>
      <c r="AK174"/>
    </row>
    <row r="175" spans="1:37" s="78" customFormat="1" ht="15.75" x14ac:dyDescent="0.25">
      <c r="A175"/>
      <c r="B175"/>
      <c r="C175" s="74"/>
      <c r="D175" s="74"/>
      <c r="E175"/>
      <c r="F175" s="74"/>
      <c r="G175" s="74"/>
      <c r="H175" s="295"/>
      <c r="I175" s="295"/>
      <c r="J175" s="296"/>
      <c r="K175" s="74"/>
      <c r="L175" s="74"/>
      <c r="M175" s="74"/>
      <c r="N175" s="74"/>
      <c r="O175" s="38"/>
      <c r="P175" s="38"/>
      <c r="Q175" s="38"/>
      <c r="R175" s="38" t="s">
        <v>415</v>
      </c>
      <c r="S175" s="278"/>
      <c r="T175" s="140">
        <v>4126</v>
      </c>
      <c r="U175" s="201">
        <v>74711</v>
      </c>
      <c r="V175" s="202">
        <v>-101036</v>
      </c>
      <c r="W175" s="131"/>
      <c r="X175" s="133"/>
      <c r="Y175" s="133"/>
      <c r="Z175" s="130"/>
      <c r="AA175" s="130"/>
      <c r="AB175" s="130"/>
      <c r="AC175" s="130"/>
      <c r="AD175" s="130"/>
      <c r="AE175" s="278"/>
      <c r="AF175" s="278"/>
      <c r="AG175" s="130"/>
      <c r="AH175" s="47"/>
      <c r="AJ175" s="79"/>
      <c r="AK175"/>
    </row>
    <row r="176" spans="1:37" s="78" customFormat="1" ht="15.75" x14ac:dyDescent="0.25">
      <c r="A176"/>
      <c r="B176"/>
      <c r="C176" s="74"/>
      <c r="D176" s="74"/>
      <c r="E176"/>
      <c r="F176" s="74"/>
      <c r="G176" s="74"/>
      <c r="H176" s="295"/>
      <c r="I176" s="295"/>
      <c r="J176" s="296"/>
      <c r="K176" s="74"/>
      <c r="L176" s="74"/>
      <c r="M176" s="74"/>
      <c r="N176" s="74"/>
      <c r="O176" s="38"/>
      <c r="P176" s="38"/>
      <c r="Q176" s="38"/>
      <c r="R176" s="38" t="s">
        <v>416</v>
      </c>
      <c r="S176" s="278"/>
      <c r="T176" s="131">
        <f>T163*0.1</f>
        <v>24539.487342857145</v>
      </c>
      <c r="U176" s="131">
        <f>U163*0.1</f>
        <v>28123.852117857146</v>
      </c>
      <c r="V176" s="131">
        <f>V163*0.1</f>
        <v>35153.603477857148</v>
      </c>
      <c r="W176" s="131">
        <f>W163*0.1</f>
        <v>37877.609327857142</v>
      </c>
      <c r="X176" s="131">
        <f t="shared" ref="X176:AD176" si="38">X163*0.1</f>
        <v>44460.099457857141</v>
      </c>
      <c r="Y176" s="131">
        <f>Y163*0.1</f>
        <v>48899.89441785714</v>
      </c>
      <c r="Z176" s="131">
        <f t="shared" si="38"/>
        <v>46609.959717857135</v>
      </c>
      <c r="AA176" s="131">
        <f t="shared" si="38"/>
        <v>48031.886800000007</v>
      </c>
      <c r="AB176" s="131">
        <f t="shared" si="38"/>
        <v>47006.840430000004</v>
      </c>
      <c r="AC176" s="131">
        <f t="shared" si="38"/>
        <v>54142.156279999996</v>
      </c>
      <c r="AD176" s="131">
        <f t="shared" si="38"/>
        <v>48250.101940000008</v>
      </c>
      <c r="AE176" s="131">
        <f>AE163*0.1+2995</f>
        <v>36904.511950000007</v>
      </c>
      <c r="AF176" s="278">
        <f>SUM(T176:AE176)</f>
        <v>500000.00326000003</v>
      </c>
      <c r="AG176" s="130"/>
      <c r="AH176" s="47"/>
      <c r="AJ176" s="79"/>
      <c r="AK176"/>
    </row>
    <row r="177" spans="1:37" ht="15.75" x14ac:dyDescent="0.25">
      <c r="M177" s="75"/>
      <c r="N177" s="75"/>
      <c r="R177" s="38" t="s">
        <v>406</v>
      </c>
      <c r="S177" s="125"/>
      <c r="T177" s="128">
        <f>T175-T176</f>
        <v>-20413.487342857145</v>
      </c>
      <c r="U177" s="128">
        <f>U175-U176</f>
        <v>46587.147882142854</v>
      </c>
      <c r="V177" s="128">
        <f>V175-V176</f>
        <v>-136189.60347785713</v>
      </c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5"/>
      <c r="AG177" s="125"/>
      <c r="AH177" s="47"/>
      <c r="AI177" s="76"/>
      <c r="AJ177" s="77"/>
      <c r="AK177" s="90"/>
    </row>
    <row r="178" spans="1:37" s="78" customFormat="1" ht="15.75" x14ac:dyDescent="0.25">
      <c r="A178"/>
      <c r="B178"/>
      <c r="C178" s="74"/>
      <c r="D178" s="74"/>
      <c r="E178"/>
      <c r="F178" s="74"/>
      <c r="G178" s="74"/>
      <c r="H178" s="295"/>
      <c r="I178" s="295"/>
      <c r="J178" s="296"/>
      <c r="K178" s="74"/>
      <c r="L178" s="74"/>
      <c r="M178" s="74"/>
      <c r="N178" s="74"/>
      <c r="O178" s="38"/>
      <c r="P178" s="38"/>
      <c r="Q178" s="38"/>
      <c r="S178" s="278"/>
      <c r="T178" s="131"/>
      <c r="U178" s="134"/>
      <c r="V178" s="135"/>
      <c r="W178" s="131"/>
      <c r="X178" s="133"/>
      <c r="Y178" s="133"/>
      <c r="Z178" s="130"/>
      <c r="AA178" s="130"/>
      <c r="AB178" s="130"/>
      <c r="AC178" s="130"/>
      <c r="AD178" s="130"/>
      <c r="AE178" s="278"/>
      <c r="AF178" s="278"/>
      <c r="AG178" s="130"/>
      <c r="AH178" s="47"/>
      <c r="AJ178" s="79"/>
      <c r="AK178"/>
    </row>
    <row r="179" spans="1:37" s="78" customFormat="1" ht="15.75" x14ac:dyDescent="0.25">
      <c r="A179"/>
      <c r="B179"/>
      <c r="C179" s="74"/>
      <c r="D179" s="74"/>
      <c r="E179"/>
      <c r="F179" s="74"/>
      <c r="G179" s="74"/>
      <c r="H179" s="295"/>
      <c r="I179" s="295"/>
      <c r="J179" s="296"/>
      <c r="K179" s="74"/>
      <c r="L179" s="74"/>
      <c r="M179" s="74"/>
      <c r="N179" s="74"/>
      <c r="O179" s="38"/>
      <c r="P179" s="38"/>
      <c r="Q179" s="38"/>
      <c r="S179" s="278"/>
      <c r="T179" s="80"/>
      <c r="U179" s="3"/>
      <c r="V179" s="8"/>
      <c r="W179" s="80"/>
      <c r="X179" s="81"/>
      <c r="Y179" s="81"/>
      <c r="AE179" s="277"/>
      <c r="AF179" s="277"/>
      <c r="AH179" s="47"/>
      <c r="AJ179" s="79"/>
      <c r="AK179"/>
    </row>
    <row r="180" spans="1:37" s="78" customFormat="1" ht="15.75" x14ac:dyDescent="0.25">
      <c r="A180"/>
      <c r="B180"/>
      <c r="C180" s="74"/>
      <c r="D180" s="74"/>
      <c r="E180"/>
      <c r="F180" s="74"/>
      <c r="G180" s="74"/>
      <c r="H180" s="295"/>
      <c r="I180" s="295"/>
      <c r="J180" s="296"/>
      <c r="K180" s="74"/>
      <c r="L180" s="74"/>
      <c r="M180" s="74"/>
      <c r="N180" s="74"/>
      <c r="O180" s="38"/>
      <c r="P180" s="38"/>
      <c r="Q180" s="38"/>
      <c r="S180" s="278"/>
      <c r="T180" s="80"/>
      <c r="U180" s="3"/>
      <c r="V180" s="8"/>
      <c r="W180" s="80"/>
      <c r="X180" s="81"/>
      <c r="Y180" s="81"/>
      <c r="AE180" s="277"/>
      <c r="AF180" s="277"/>
      <c r="AH180" s="47"/>
      <c r="AJ180" s="79"/>
      <c r="AK180"/>
    </row>
    <row r="181" spans="1:37" s="78" customFormat="1" ht="15.75" x14ac:dyDescent="0.25">
      <c r="A181"/>
      <c r="B181"/>
      <c r="C181" s="74"/>
      <c r="D181" s="74"/>
      <c r="E181"/>
      <c r="F181" s="74"/>
      <c r="G181" s="74"/>
      <c r="H181" s="295"/>
      <c r="I181" s="295"/>
      <c r="J181" s="296"/>
      <c r="K181" s="74"/>
      <c r="L181" s="74"/>
      <c r="M181" s="74"/>
      <c r="N181" s="74"/>
      <c r="O181" s="38"/>
      <c r="P181" s="38"/>
      <c r="Q181" s="38"/>
      <c r="S181" s="278"/>
      <c r="T181" s="80"/>
      <c r="U181" s="3"/>
      <c r="V181" s="8"/>
      <c r="W181" s="80"/>
      <c r="X181" s="81"/>
      <c r="Y181" s="81"/>
      <c r="AE181" s="277"/>
      <c r="AF181" s="277"/>
      <c r="AH181" s="47"/>
      <c r="AJ181" s="79"/>
      <c r="AK181"/>
    </row>
    <row r="182" spans="1:37" s="78" customFormat="1" ht="15.75" x14ac:dyDescent="0.25">
      <c r="A182"/>
      <c r="B182"/>
      <c r="C182" s="74"/>
      <c r="D182" s="74"/>
      <c r="E182"/>
      <c r="F182" s="74"/>
      <c r="G182" s="74"/>
      <c r="H182" s="295"/>
      <c r="I182" s="295"/>
      <c r="J182" s="296"/>
      <c r="K182" s="74"/>
      <c r="L182" s="74"/>
      <c r="M182" s="74"/>
      <c r="N182" s="74"/>
      <c r="O182" s="38"/>
      <c r="P182" s="38"/>
      <c r="Q182" s="38"/>
      <c r="S182" s="278"/>
      <c r="T182" s="80"/>
      <c r="U182" s="3"/>
      <c r="V182" s="8"/>
      <c r="W182" s="80"/>
      <c r="X182" s="81"/>
      <c r="Y182" s="81"/>
      <c r="AE182" s="277"/>
      <c r="AF182" s="277"/>
      <c r="AH182" s="47"/>
      <c r="AJ182" s="79"/>
      <c r="AK182"/>
    </row>
    <row r="183" spans="1:37" s="78" customFormat="1" ht="15.75" x14ac:dyDescent="0.25">
      <c r="A183"/>
      <c r="B183"/>
      <c r="C183" s="74"/>
      <c r="D183" s="74"/>
      <c r="E183"/>
      <c r="F183" s="74"/>
      <c r="G183" s="74"/>
      <c r="H183" s="295"/>
      <c r="I183" s="295"/>
      <c r="J183" s="296"/>
      <c r="K183" s="74"/>
      <c r="L183" s="74"/>
      <c r="M183" s="74"/>
      <c r="N183" s="74"/>
      <c r="O183" s="38"/>
      <c r="P183" s="38"/>
      <c r="Q183" s="38"/>
      <c r="S183" s="278"/>
      <c r="T183" s="80"/>
      <c r="U183" s="3"/>
      <c r="V183" s="8"/>
      <c r="W183" s="80"/>
      <c r="X183" s="81"/>
      <c r="Y183" s="81"/>
      <c r="AE183" s="277"/>
      <c r="AF183" s="277"/>
      <c r="AH183" s="47"/>
      <c r="AJ183" s="79"/>
      <c r="AK183"/>
    </row>
    <row r="184" spans="1:37" s="78" customFormat="1" ht="15.75" x14ac:dyDescent="0.25">
      <c r="A184"/>
      <c r="B184"/>
      <c r="C184" s="74"/>
      <c r="D184" s="74"/>
      <c r="E184"/>
      <c r="F184" s="74"/>
      <c r="G184" s="74"/>
      <c r="H184" s="295"/>
      <c r="I184" s="295"/>
      <c r="J184" s="296"/>
      <c r="K184" s="74"/>
      <c r="L184" s="74"/>
      <c r="M184" s="74"/>
      <c r="N184" s="74"/>
      <c r="O184" s="38"/>
      <c r="P184" s="38"/>
      <c r="Q184" s="38"/>
      <c r="S184" s="278"/>
      <c r="T184" s="80"/>
      <c r="U184" s="3"/>
      <c r="V184" s="8"/>
      <c r="W184" s="80"/>
      <c r="X184" s="81"/>
      <c r="Y184" s="81"/>
      <c r="AE184" s="277"/>
      <c r="AF184" s="277"/>
      <c r="AH184" s="79"/>
      <c r="AJ184" s="79"/>
      <c r="AK184"/>
    </row>
    <row r="185" spans="1:37" s="78" customFormat="1" x14ac:dyDescent="0.25">
      <c r="A185"/>
      <c r="B185"/>
      <c r="C185" s="74"/>
      <c r="D185" s="74"/>
      <c r="E185"/>
      <c r="F185" s="74"/>
      <c r="G185" s="74"/>
      <c r="H185" s="295"/>
      <c r="I185" s="295"/>
      <c r="J185" s="296"/>
      <c r="K185" s="74"/>
      <c r="L185" s="74"/>
      <c r="M185" s="74"/>
      <c r="N185" s="74"/>
      <c r="O185" s="38"/>
      <c r="P185" s="38"/>
      <c r="Q185" s="38"/>
      <c r="S185" s="278"/>
      <c r="T185" s="80"/>
      <c r="U185" s="80"/>
      <c r="V185" s="80"/>
      <c r="W185" s="80"/>
      <c r="X185" s="81"/>
      <c r="Y185" s="81"/>
      <c r="AE185" s="277"/>
      <c r="AF185" s="277"/>
      <c r="AH185" s="79"/>
      <c r="AJ185" s="79"/>
      <c r="AK185"/>
    </row>
  </sheetData>
  <protectedRanges>
    <protectedRange algorithmName="SHA-512" hashValue="p1zaDFJkdjN+AnmfzFBjbFKRbWYOQQg+cT1DzqDhOzloqO83qQsI/t5kPN30lmEEP3guKkM4uc2fEPeaztRBYA==" saltValue="+Rl2QHA+Wv31lMWEuJdOoQ==" spinCount="100000" sqref="H9:I9" name="Nolan_7_2"/>
    <protectedRange algorithmName="SHA-512" hashValue="p1zaDFJkdjN+AnmfzFBjbFKRbWYOQQg+cT1DzqDhOzloqO83qQsI/t5kPN30lmEEP3guKkM4uc2fEPeaztRBYA==" saltValue="+Rl2QHA+Wv31lMWEuJdOoQ==" spinCount="100000" sqref="H12:I12" name="Nolan_21"/>
    <protectedRange algorithmName="SHA-512" hashValue="7kKMQlnDQnaF2pWl7cOum7Q4v5K+/RuncQjNwOX/9VMC6IpRzPVvdGKHyOugwdH0ncs0E84+2rLp7ry6I8ErdA==" saltValue="jtLfJTgX02XzBGTPnDDc1A==" spinCount="100000" sqref="E13" name="Peggy_1"/>
    <protectedRange algorithmName="SHA-512" hashValue="p1zaDFJkdjN+AnmfzFBjbFKRbWYOQQg+cT1DzqDhOzloqO83qQsI/t5kPN30lmEEP3guKkM4uc2fEPeaztRBYA==" saltValue="+Rl2QHA+Wv31lMWEuJdOoQ==" spinCount="100000" sqref="H13:I13" name="Nolan"/>
    <protectedRange algorithmName="SHA-512" hashValue="7kKMQlnDQnaF2pWl7cOum7Q4v5K+/RuncQjNwOX/9VMC6IpRzPVvdGKHyOugwdH0ncs0E84+2rLp7ry6I8ErdA==" saltValue="jtLfJTgX02XzBGTPnDDc1A==" spinCount="100000" sqref="E14" name="Peggy_11"/>
    <protectedRange algorithmName="SHA-512" hashValue="p1zaDFJkdjN+AnmfzFBjbFKRbWYOQQg+cT1DzqDhOzloqO83qQsI/t5kPN30lmEEP3guKkM4uc2fEPeaztRBYA==" saltValue="+Rl2QHA+Wv31lMWEuJdOoQ==" spinCount="100000" sqref="H14:I14" name="Nolan_9"/>
    <protectedRange algorithmName="SHA-512" hashValue="7kKMQlnDQnaF2pWl7cOum7Q4v5K+/RuncQjNwOX/9VMC6IpRzPVvdGKHyOugwdH0ncs0E84+2rLp7ry6I8ErdA==" saltValue="jtLfJTgX02XzBGTPnDDc1A==" spinCount="100000" sqref="E15" name="Peggy_3"/>
    <protectedRange algorithmName="SHA-512" hashValue="p1zaDFJkdjN+AnmfzFBjbFKRbWYOQQg+cT1DzqDhOzloqO83qQsI/t5kPN30lmEEP3guKkM4uc2fEPeaztRBYA==" saltValue="+Rl2QHA+Wv31lMWEuJdOoQ==" spinCount="100000" sqref="H15:I15" name="Nolan_2"/>
    <protectedRange algorithmName="SHA-512" hashValue="p1zaDFJkdjN+AnmfzFBjbFKRbWYOQQg+cT1DzqDhOzloqO83qQsI/t5kPN30lmEEP3guKkM4uc2fEPeaztRBYA==" saltValue="+Rl2QHA+Wv31lMWEuJdOoQ==" spinCount="100000" sqref="H17:I17" name="Nolan_13_1"/>
    <protectedRange algorithmName="SHA-512" hashValue="p1zaDFJkdjN+AnmfzFBjbFKRbWYOQQg+cT1DzqDhOzloqO83qQsI/t5kPN30lmEEP3guKkM4uc2fEPeaztRBYA==" saltValue="+Rl2QHA+Wv31lMWEuJdOoQ==" spinCount="100000" sqref="I31" name="Nolan_3"/>
    <protectedRange algorithmName="SHA-512" hashValue="7kKMQlnDQnaF2pWl7cOum7Q4v5K+/RuncQjNwOX/9VMC6IpRzPVvdGKHyOugwdH0ncs0E84+2rLp7ry6I8ErdA==" saltValue="jtLfJTgX02XzBGTPnDDc1A==" spinCount="100000" sqref="E32" name="Peggy_2"/>
    <protectedRange algorithmName="SHA-512" hashValue="p1zaDFJkdjN+AnmfzFBjbFKRbWYOQQg+cT1DzqDhOzloqO83qQsI/t5kPN30lmEEP3guKkM4uc2fEPeaztRBYA==" saltValue="+Rl2QHA+Wv31lMWEuJdOoQ==" spinCount="100000" sqref="H32:I32" name="Nolan_1"/>
  </protectedRanges>
  <autoFilter ref="A2:AL2" xr:uid="{12A63D3F-80EA-4B81-A87B-C538A27F25CA}"/>
  <mergeCells count="1">
    <mergeCell ref="T1:AE1"/>
  </mergeCells>
  <conditionalFormatting sqref="AI154 AI40:AI41 AI54:AI56 AI65:AI66 AI23:AI26 AI44:AI47 AI49:AI52 AI86:AI87 AI134:AI137 AI5:AI21 AI28:AI38 AI139:AI141 AI144:AI151 AI70:AI82 AI89:AI132 AI59:AI63">
    <cfRule type="cellIs" dxfId="1513" priority="167" operator="lessThan">
      <formula>R5</formula>
    </cfRule>
    <cfRule type="cellIs" dxfId="1512" priority="168" operator="greaterThan">
      <formula>R5</formula>
    </cfRule>
    <cfRule type="cellIs" dxfId="1511" priority="169" operator="equal">
      <formula>R5</formula>
    </cfRule>
  </conditionalFormatting>
  <conditionalFormatting sqref="K169:K171 K173:K176 K178:K1048576 K153:K163 K134:K137 K139:K151 K37:K39 K1:K35 K41:K132">
    <cfRule type="cellIs" dxfId="1510" priority="165" operator="equal">
      <formula>"no"</formula>
    </cfRule>
    <cfRule type="cellIs" dxfId="1509" priority="166" operator="equal">
      <formula>"yes"</formula>
    </cfRule>
  </conditionalFormatting>
  <conditionalFormatting sqref="K29:K31">
    <cfRule type="cellIs" dxfId="1508" priority="163" operator="equal">
      <formula>"no"</formula>
    </cfRule>
    <cfRule type="cellIs" dxfId="1507" priority="164" operator="equal">
      <formula>"yes"</formula>
    </cfRule>
  </conditionalFormatting>
  <conditionalFormatting sqref="K44">
    <cfRule type="cellIs" dxfId="1506" priority="161" operator="equal">
      <formula>"no"</formula>
    </cfRule>
    <cfRule type="cellIs" dxfId="1505" priority="162" operator="equal">
      <formula>"yes"</formula>
    </cfRule>
  </conditionalFormatting>
  <conditionalFormatting sqref="R40:R41 R65 R23:R25 R44:R46 R49:R51 R28:R30 R36:R37 R123:R131 R86 R70:R76 R134:R137 R5:R20 R78:R82 R139:R151 R89:R109 R58:R62">
    <cfRule type="cellIs" dxfId="1504" priority="160" operator="equal">
      <formula>0</formula>
    </cfRule>
  </conditionalFormatting>
  <conditionalFormatting sqref="AI58">
    <cfRule type="cellIs" dxfId="1503" priority="157" operator="lessThan">
      <formula>R58</formula>
    </cfRule>
    <cfRule type="cellIs" dxfId="1502" priority="158" operator="greaterThan">
      <formula>R58</formula>
    </cfRule>
    <cfRule type="cellIs" dxfId="1501" priority="159" operator="equal">
      <formula>R58</formula>
    </cfRule>
  </conditionalFormatting>
  <conditionalFormatting sqref="D169:J171 D173:J176 D178:J1048576 D153:J163 J44:J45 H46:J46 D44:G46 J83 L149:Q151 E70:E71 F69:G71 D134:J137 L140:Q140 L134:Q137 D140:J151 D138 F138:G138 D68:D83 C145:C151 O138:Q138 K36:Q36 K40 C136 D132:J132 J111:J122 E72:G83 H81:J82 J80 D100:G131 D84:J99 H100:J110 D47:J67 D1:J43 H70:J79 H123:J131">
    <cfRule type="cellIs" dxfId="1500" priority="156" operator="equal">
      <formula>"TBD"</formula>
    </cfRule>
  </conditionalFormatting>
  <conditionalFormatting sqref="T156:AE156">
    <cfRule type="cellIs" dxfId="1499" priority="133" operator="equal">
      <formula>0</formula>
    </cfRule>
    <cfRule type="cellIs" dxfId="1498" priority="154" operator="lessThan">
      <formula>0</formula>
    </cfRule>
    <cfRule type="cellIs" dxfId="1497" priority="155" operator="greaterThan">
      <formula>0</formula>
    </cfRule>
  </conditionalFormatting>
  <conditionalFormatting sqref="K164:K168">
    <cfRule type="cellIs" dxfId="1496" priority="152" operator="equal">
      <formula>"no"</formula>
    </cfRule>
    <cfRule type="cellIs" dxfId="1495" priority="153" operator="equal">
      <formula>"yes"</formula>
    </cfRule>
  </conditionalFormatting>
  <conditionalFormatting sqref="D164:J168">
    <cfRule type="cellIs" dxfId="1494" priority="151" operator="equal">
      <formula>"TBD"</formula>
    </cfRule>
  </conditionalFormatting>
  <conditionalFormatting sqref="T164:AE165 AK4:AK154">
    <cfRule type="cellIs" dxfId="1493" priority="149" operator="lessThan">
      <formula>0</formula>
    </cfRule>
    <cfRule type="cellIs" dxfId="1492" priority="150" operator="greaterThan">
      <formula>0</formula>
    </cfRule>
  </conditionalFormatting>
  <conditionalFormatting sqref="K172">
    <cfRule type="cellIs" dxfId="1491" priority="147" operator="equal">
      <formula>"no"</formula>
    </cfRule>
    <cfRule type="cellIs" dxfId="1490" priority="148" operator="equal">
      <formula>"yes"</formula>
    </cfRule>
  </conditionalFormatting>
  <conditionalFormatting sqref="D172:J172">
    <cfRule type="cellIs" dxfId="1489" priority="146" operator="equal">
      <formula>"TBD"</formula>
    </cfRule>
  </conditionalFormatting>
  <conditionalFormatting sqref="T172:AE172">
    <cfRule type="cellIs" dxfId="1488" priority="144" operator="lessThan">
      <formula>0</formula>
    </cfRule>
    <cfRule type="cellIs" dxfId="1487" priority="145" operator="greaterThan">
      <formula>0</formula>
    </cfRule>
  </conditionalFormatting>
  <conditionalFormatting sqref="K177">
    <cfRule type="cellIs" dxfId="1486" priority="142" operator="equal">
      <formula>"no"</formula>
    </cfRule>
    <cfRule type="cellIs" dxfId="1485" priority="143" operator="equal">
      <formula>"yes"</formula>
    </cfRule>
  </conditionalFormatting>
  <conditionalFormatting sqref="D177:J177">
    <cfRule type="cellIs" dxfId="1484" priority="141" operator="equal">
      <formula>"TBD"</formula>
    </cfRule>
  </conditionalFormatting>
  <conditionalFormatting sqref="T177:AE177">
    <cfRule type="cellIs" dxfId="1483" priority="139" operator="lessThan">
      <formula>0</formula>
    </cfRule>
    <cfRule type="cellIs" dxfId="1482" priority="140" operator="greaterThan">
      <formula>0</formula>
    </cfRule>
  </conditionalFormatting>
  <conditionalFormatting sqref="S156">
    <cfRule type="cellIs" dxfId="1481" priority="137" operator="lessThan">
      <formula>0</formula>
    </cfRule>
    <cfRule type="cellIs" dxfId="1480" priority="138" operator="greaterThan">
      <formula>0</formula>
    </cfRule>
  </conditionalFormatting>
  <conditionalFormatting sqref="T160:V160">
    <cfRule type="cellIs" dxfId="1479" priority="134" operator="equal">
      <formula>0</formula>
    </cfRule>
    <cfRule type="cellIs" dxfId="1478" priority="135" operator="lessThan">
      <formula>0</formula>
    </cfRule>
    <cfRule type="cellIs" dxfId="1477" priority="136" operator="greaterThan">
      <formula>0</formula>
    </cfRule>
  </conditionalFormatting>
  <conditionalFormatting sqref="T168:V168">
    <cfRule type="cellIs" dxfId="1476" priority="130" operator="lessThan">
      <formula>0</formula>
    </cfRule>
    <cfRule type="cellIs" dxfId="1475" priority="131" operator="equal">
      <formula>0</formula>
    </cfRule>
    <cfRule type="cellIs" dxfId="1474" priority="132" operator="greaterThan">
      <formula>0</formula>
    </cfRule>
  </conditionalFormatting>
  <conditionalFormatting sqref="AI4">
    <cfRule type="cellIs" dxfId="1473" priority="127" operator="lessThan">
      <formula>R4</formula>
    </cfRule>
    <cfRule type="cellIs" dxfId="1472" priority="128" operator="greaterThan">
      <formula>R4</formula>
    </cfRule>
    <cfRule type="cellIs" dxfId="1471" priority="129" operator="equal">
      <formula>R4</formula>
    </cfRule>
  </conditionalFormatting>
  <conditionalFormatting sqref="K4">
    <cfRule type="cellIs" dxfId="1470" priority="125" operator="equal">
      <formula>"no"</formula>
    </cfRule>
    <cfRule type="cellIs" dxfId="1469" priority="126" operator="equal">
      <formula>"yes"</formula>
    </cfRule>
  </conditionalFormatting>
  <conditionalFormatting sqref="R4">
    <cfRule type="cellIs" dxfId="1468" priority="124" operator="equal">
      <formula>0</formula>
    </cfRule>
  </conditionalFormatting>
  <conditionalFormatting sqref="D4:J4 F5:G7">
    <cfRule type="cellIs" dxfId="1467" priority="123" operator="equal">
      <formula>"TBD"</formula>
    </cfRule>
  </conditionalFormatting>
  <conditionalFormatting sqref="AI142">
    <cfRule type="cellIs" dxfId="1466" priority="120" operator="lessThan">
      <formula>R142</formula>
    </cfRule>
    <cfRule type="cellIs" dxfId="1465" priority="121" operator="greaterThan">
      <formula>R142</formula>
    </cfRule>
    <cfRule type="cellIs" dxfId="1464" priority="122" operator="equal">
      <formula>R142</formula>
    </cfRule>
  </conditionalFormatting>
  <conditionalFormatting sqref="K39">
    <cfRule type="cellIs" dxfId="1463" priority="118" operator="equal">
      <formula>"no"</formula>
    </cfRule>
    <cfRule type="cellIs" dxfId="1462" priority="119" operator="equal">
      <formula>"yes"</formula>
    </cfRule>
  </conditionalFormatting>
  <conditionalFormatting sqref="D39:J39">
    <cfRule type="cellIs" dxfId="1461" priority="117" operator="equal">
      <formula>"TBD"</formula>
    </cfRule>
  </conditionalFormatting>
  <conditionalFormatting sqref="AI42">
    <cfRule type="cellIs" dxfId="1460" priority="114" operator="lessThan">
      <formula>R42</formula>
    </cfRule>
    <cfRule type="cellIs" dxfId="1459" priority="115" operator="greaterThan">
      <formula>R42</formula>
    </cfRule>
    <cfRule type="cellIs" dxfId="1458" priority="116" operator="equal">
      <formula>R42</formula>
    </cfRule>
  </conditionalFormatting>
  <conditionalFormatting sqref="K42">
    <cfRule type="cellIs" dxfId="1457" priority="112" operator="equal">
      <formula>"no"</formula>
    </cfRule>
    <cfRule type="cellIs" dxfId="1456" priority="113" operator="equal">
      <formula>"yes"</formula>
    </cfRule>
  </conditionalFormatting>
  <conditionalFormatting sqref="D42:J42">
    <cfRule type="cellIs" dxfId="1455" priority="111" operator="equal">
      <formula>"TBD"</formula>
    </cfRule>
  </conditionalFormatting>
  <conditionalFormatting sqref="AI84">
    <cfRule type="cellIs" dxfId="1454" priority="108" operator="lessThan">
      <formula>R84</formula>
    </cfRule>
    <cfRule type="cellIs" dxfId="1453" priority="109" operator="greaterThan">
      <formula>R84</formula>
    </cfRule>
    <cfRule type="cellIs" dxfId="1452" priority="110" operator="equal">
      <formula>R84</formula>
    </cfRule>
  </conditionalFormatting>
  <conditionalFormatting sqref="K84">
    <cfRule type="cellIs" dxfId="1451" priority="106" operator="equal">
      <formula>"no"</formula>
    </cfRule>
    <cfRule type="cellIs" dxfId="1450" priority="107" operator="equal">
      <formula>"yes"</formula>
    </cfRule>
  </conditionalFormatting>
  <conditionalFormatting sqref="D84:J84">
    <cfRule type="cellIs" dxfId="1449" priority="105" operator="equal">
      <formula>"TBD"</formula>
    </cfRule>
  </conditionalFormatting>
  <conditionalFormatting sqref="K81:K82">
    <cfRule type="cellIs" dxfId="1448" priority="103" operator="equal">
      <formula>"no"</formula>
    </cfRule>
    <cfRule type="cellIs" dxfId="1447" priority="104" operator="equal">
      <formula>"yes"</formula>
    </cfRule>
  </conditionalFormatting>
  <conditionalFormatting sqref="E81 H81:I81">
    <cfRule type="cellIs" dxfId="1446" priority="102" operator="equal">
      <formula>"TBD"</formula>
    </cfRule>
  </conditionalFormatting>
  <conditionalFormatting sqref="K53:K55">
    <cfRule type="cellIs" dxfId="1445" priority="100" operator="equal">
      <formula>"no"</formula>
    </cfRule>
    <cfRule type="cellIs" dxfId="1444" priority="101" operator="equal">
      <formula>"yes"</formula>
    </cfRule>
  </conditionalFormatting>
  <conditionalFormatting sqref="R54:R55">
    <cfRule type="cellIs" dxfId="1443" priority="99" operator="equal">
      <formula>0</formula>
    </cfRule>
  </conditionalFormatting>
  <conditionalFormatting sqref="D53:J55">
    <cfRule type="cellIs" dxfId="1442" priority="98" operator="equal">
      <formula>"TBD"</formula>
    </cfRule>
  </conditionalFormatting>
  <conditionalFormatting sqref="K64:K65">
    <cfRule type="cellIs" dxfId="1441" priority="96" operator="equal">
      <formula>"no"</formula>
    </cfRule>
    <cfRule type="cellIs" dxfId="1440" priority="97" operator="equal">
      <formula>"yes"</formula>
    </cfRule>
  </conditionalFormatting>
  <conditionalFormatting sqref="D64:J65">
    <cfRule type="cellIs" dxfId="1439" priority="95" operator="equal">
      <formula>"TBD"</formula>
    </cfRule>
  </conditionalFormatting>
  <conditionalFormatting sqref="J44:J45 H46:J46 C44:G46 J83 F69:G71 E70:E71 L134:Q137 C138:D138 F138:G138 C70:C83 D68:D83 L139:Q151 O138:Q138 K36:Q36 K40 C139:J1048576 C132:J137 J111:J122 E72:G83 H81:J82 J80 C100:G131 C84:J99 H100:J110 C47:J67 C1:J43 H70:J79 H123:J131">
    <cfRule type="containsText" dxfId="1438" priority="93" operator="containsText" text="DEAD">
      <formula>NOT(ISERROR(SEARCH("DEAD",C1)))</formula>
    </cfRule>
    <cfRule type="containsText" dxfId="1437" priority="94" operator="containsText" text="HOLD">
      <formula>NOT(ISERROR(SEARCH("HOLD",C1)))</formula>
    </cfRule>
  </conditionalFormatting>
  <conditionalFormatting sqref="D8:J8">
    <cfRule type="cellIs" dxfId="1436" priority="92" operator="equal">
      <formula>"TBD"</formula>
    </cfRule>
  </conditionalFormatting>
  <conditionalFormatting sqref="D13:J13 J14:J20">
    <cfRule type="cellIs" dxfId="1435" priority="91" operator="equal">
      <formula>"TBD"</formula>
    </cfRule>
  </conditionalFormatting>
  <conditionalFormatting sqref="D14:J14 J15:J20">
    <cfRule type="cellIs" dxfId="1434" priority="90" operator="equal">
      <formula>"TBD"</formula>
    </cfRule>
  </conditionalFormatting>
  <conditionalFormatting sqref="J17:J20 D15:J16">
    <cfRule type="cellIs" dxfId="1433" priority="89" operator="equal">
      <formula>"TBD"</formula>
    </cfRule>
  </conditionalFormatting>
  <conditionalFormatting sqref="AI68:AI69">
    <cfRule type="cellIs" dxfId="1432" priority="86" operator="lessThan">
      <formula>R68</formula>
    </cfRule>
    <cfRule type="cellIs" dxfId="1431" priority="87" operator="greaterThan">
      <formula>R68</formula>
    </cfRule>
    <cfRule type="cellIs" dxfId="1430" priority="88" operator="equal">
      <formula>R68</formula>
    </cfRule>
  </conditionalFormatting>
  <conditionalFormatting sqref="R68:R69">
    <cfRule type="cellIs" dxfId="1429" priority="85" operator="equal">
      <formula>0</formula>
    </cfRule>
  </conditionalFormatting>
  <conditionalFormatting sqref="E68:H68 H69 I68:J69 E69">
    <cfRule type="cellIs" dxfId="1428" priority="84" operator="equal">
      <formula>"TBD"</formula>
    </cfRule>
  </conditionalFormatting>
  <conditionalFormatting sqref="C68:C69 H69 I68:J69 E68:H68 E69">
    <cfRule type="containsText" dxfId="1427" priority="82" operator="containsText" text="DEAD">
      <formula>NOT(ISERROR(SEARCH("DEAD",C68)))</formula>
    </cfRule>
    <cfRule type="containsText" dxfId="1426" priority="83" operator="containsText" text="HOLD">
      <formula>NOT(ISERROR(SEARCH("HOLD",C68)))</formula>
    </cfRule>
  </conditionalFormatting>
  <conditionalFormatting sqref="K133">
    <cfRule type="cellIs" dxfId="1425" priority="80" operator="equal">
      <formula>"no"</formula>
    </cfRule>
    <cfRule type="cellIs" dxfId="1424" priority="81" operator="equal">
      <formula>"yes"</formula>
    </cfRule>
  </conditionalFormatting>
  <conditionalFormatting sqref="D133:J133">
    <cfRule type="cellIs" dxfId="1423" priority="79" operator="equal">
      <formula>"TBD"</formula>
    </cfRule>
  </conditionalFormatting>
  <conditionalFormatting sqref="AI152">
    <cfRule type="cellIs" dxfId="1422" priority="76" operator="lessThan">
      <formula>R152</formula>
    </cfRule>
    <cfRule type="cellIs" dxfId="1421" priority="77" operator="greaterThan">
      <formula>R152</formula>
    </cfRule>
    <cfRule type="cellIs" dxfId="1420" priority="78" operator="equal">
      <formula>R152</formula>
    </cfRule>
  </conditionalFormatting>
  <conditionalFormatting sqref="K152">
    <cfRule type="cellIs" dxfId="1419" priority="74" operator="equal">
      <formula>"no"</formula>
    </cfRule>
    <cfRule type="cellIs" dxfId="1418" priority="75" operator="equal">
      <formula>"yes"</formula>
    </cfRule>
  </conditionalFormatting>
  <conditionalFormatting sqref="D152:J152">
    <cfRule type="cellIs" dxfId="1417" priority="73" operator="equal">
      <formula>"TBD"</formula>
    </cfRule>
  </conditionalFormatting>
  <conditionalFormatting sqref="L134:Q135 D136:E136 L137:Q137 L139:Q140 C134:C140 O138:Q138 D139:J139">
    <cfRule type="cellIs" dxfId="1416" priority="72" operator="equal">
      <formula>"SOLD"</formula>
    </cfRule>
  </conditionalFormatting>
  <conditionalFormatting sqref="D134:J137 D140:J140 L136:Q136 D138 F138:G138">
    <cfRule type="cellIs" dxfId="1415" priority="71" operator="equal">
      <formula>"SOLD"</formula>
    </cfRule>
  </conditionalFormatting>
  <conditionalFormatting sqref="M151:N151">
    <cfRule type="cellIs" dxfId="1414" priority="70" operator="equal">
      <formula>"TBD"</formula>
    </cfRule>
  </conditionalFormatting>
  <conditionalFormatting sqref="L144:N144">
    <cfRule type="cellIs" dxfId="1413" priority="69" operator="equal">
      <formula>"TBD"</formula>
    </cfRule>
  </conditionalFormatting>
  <conditionalFormatting sqref="L144:N144">
    <cfRule type="containsText" dxfId="1412" priority="67" operator="containsText" text="DEAD">
      <formula>NOT(ISERROR(SEARCH("DEAD",L144)))</formula>
    </cfRule>
    <cfRule type="containsText" dxfId="1411" priority="68" operator="containsText" text="HOLD">
      <formula>NOT(ISERROR(SEARCH("HOLD",L144)))</formula>
    </cfRule>
  </conditionalFormatting>
  <conditionalFormatting sqref="R110:R111">
    <cfRule type="cellIs" dxfId="1410" priority="66" operator="equal">
      <formula>0</formula>
    </cfRule>
  </conditionalFormatting>
  <conditionalFormatting sqref="H111:I111">
    <cfRule type="cellIs" dxfId="1409" priority="65" operator="equal">
      <formula>"TBD"</formula>
    </cfRule>
  </conditionalFormatting>
  <conditionalFormatting sqref="H111:I111">
    <cfRule type="containsText" dxfId="1408" priority="63" operator="containsText" text="DEAD">
      <formula>NOT(ISERROR(SEARCH("DEAD",H111)))</formula>
    </cfRule>
    <cfRule type="containsText" dxfId="1407" priority="64" operator="containsText" text="HOLD">
      <formula>NOT(ISERROR(SEARCH("HOLD",H111)))</formula>
    </cfRule>
  </conditionalFormatting>
  <conditionalFormatting sqref="R113">
    <cfRule type="cellIs" dxfId="1406" priority="62" operator="equal">
      <formula>0</formula>
    </cfRule>
  </conditionalFormatting>
  <conditionalFormatting sqref="H113:I113">
    <cfRule type="cellIs" dxfId="1405" priority="61" operator="equal">
      <formula>"TBD"</formula>
    </cfRule>
  </conditionalFormatting>
  <conditionalFormatting sqref="H113:I113">
    <cfRule type="containsText" dxfId="1404" priority="59" operator="containsText" text="DEAD">
      <formula>NOT(ISERROR(SEARCH("DEAD",H113)))</formula>
    </cfRule>
    <cfRule type="containsText" dxfId="1403" priority="60" operator="containsText" text="HOLD">
      <formula>NOT(ISERROR(SEARCH("HOLD",H113)))</formula>
    </cfRule>
  </conditionalFormatting>
  <conditionalFormatting sqref="R106">
    <cfRule type="cellIs" dxfId="1402" priority="58" operator="equal">
      <formula>0</formula>
    </cfRule>
  </conditionalFormatting>
  <conditionalFormatting sqref="R112">
    <cfRule type="cellIs" dxfId="1401" priority="57" operator="equal">
      <formula>0</formula>
    </cfRule>
  </conditionalFormatting>
  <conditionalFormatting sqref="H112:I112">
    <cfRule type="cellIs" dxfId="1400" priority="56" operator="equal">
      <formula>"TBD"</formula>
    </cfRule>
  </conditionalFormatting>
  <conditionalFormatting sqref="H112:I112">
    <cfRule type="containsText" dxfId="1399" priority="54" operator="containsText" text="DEAD">
      <formula>NOT(ISERROR(SEARCH("DEAD",H112)))</formula>
    </cfRule>
    <cfRule type="containsText" dxfId="1398" priority="55" operator="containsText" text="HOLD">
      <formula>NOT(ISERROR(SEARCH("HOLD",H112)))</formula>
    </cfRule>
  </conditionalFormatting>
  <conditionalFormatting sqref="R114">
    <cfRule type="cellIs" dxfId="1397" priority="53" operator="equal">
      <formula>0</formula>
    </cfRule>
  </conditionalFormatting>
  <conditionalFormatting sqref="H114:I114">
    <cfRule type="cellIs" dxfId="1396" priority="52" operator="equal">
      <formula>"TBD"</formula>
    </cfRule>
  </conditionalFormatting>
  <conditionalFormatting sqref="H114:I114">
    <cfRule type="containsText" dxfId="1395" priority="50" operator="containsText" text="DEAD">
      <formula>NOT(ISERROR(SEARCH("DEAD",H114)))</formula>
    </cfRule>
    <cfRule type="containsText" dxfId="1394" priority="51" operator="containsText" text="HOLD">
      <formula>NOT(ISERROR(SEARCH("HOLD",H114)))</formula>
    </cfRule>
  </conditionalFormatting>
  <conditionalFormatting sqref="R115">
    <cfRule type="cellIs" dxfId="1393" priority="49" operator="equal">
      <formula>0</formula>
    </cfRule>
  </conditionalFormatting>
  <conditionalFormatting sqref="H115:I115">
    <cfRule type="cellIs" dxfId="1392" priority="48" operator="equal">
      <formula>"TBD"</formula>
    </cfRule>
  </conditionalFormatting>
  <conditionalFormatting sqref="H115:I115">
    <cfRule type="containsText" dxfId="1391" priority="46" operator="containsText" text="DEAD">
      <formula>NOT(ISERROR(SEARCH("DEAD",H115)))</formula>
    </cfRule>
    <cfRule type="containsText" dxfId="1390" priority="47" operator="containsText" text="HOLD">
      <formula>NOT(ISERROR(SEARCH("HOLD",H115)))</formula>
    </cfRule>
  </conditionalFormatting>
  <conditionalFormatting sqref="R116:R118">
    <cfRule type="cellIs" dxfId="1389" priority="45" operator="equal">
      <formula>0</formula>
    </cfRule>
  </conditionalFormatting>
  <conditionalFormatting sqref="H116:I118">
    <cfRule type="cellIs" dxfId="1388" priority="44" operator="equal">
      <formula>"TBD"</formula>
    </cfRule>
  </conditionalFormatting>
  <conditionalFormatting sqref="H116:I118">
    <cfRule type="containsText" dxfId="1387" priority="42" operator="containsText" text="DEAD">
      <formula>NOT(ISERROR(SEARCH("DEAD",H116)))</formula>
    </cfRule>
    <cfRule type="containsText" dxfId="1386" priority="43" operator="containsText" text="HOLD">
      <formula>NOT(ISERROR(SEARCH("HOLD",H116)))</formula>
    </cfRule>
  </conditionalFormatting>
  <conditionalFormatting sqref="R119:R121">
    <cfRule type="cellIs" dxfId="1385" priority="41" operator="equal">
      <formula>0</formula>
    </cfRule>
  </conditionalFormatting>
  <conditionalFormatting sqref="H119:I121">
    <cfRule type="cellIs" dxfId="1384" priority="40" operator="equal">
      <formula>"TBD"</formula>
    </cfRule>
  </conditionalFormatting>
  <conditionalFormatting sqref="H119:I121">
    <cfRule type="containsText" dxfId="1383" priority="38" operator="containsText" text="DEAD">
      <formula>NOT(ISERROR(SEARCH("DEAD",H119)))</formula>
    </cfRule>
    <cfRule type="containsText" dxfId="1382" priority="39" operator="containsText" text="HOLD">
      <formula>NOT(ISERROR(SEARCH("HOLD",H119)))</formula>
    </cfRule>
  </conditionalFormatting>
  <conditionalFormatting sqref="R122">
    <cfRule type="cellIs" dxfId="1381" priority="37" operator="equal">
      <formula>0</formula>
    </cfRule>
  </conditionalFormatting>
  <conditionalFormatting sqref="H122:I122">
    <cfRule type="cellIs" dxfId="1380" priority="36" operator="equal">
      <formula>"TBD"</formula>
    </cfRule>
  </conditionalFormatting>
  <conditionalFormatting sqref="H122:I122">
    <cfRule type="containsText" dxfId="1379" priority="34" operator="containsText" text="DEAD">
      <formula>NOT(ISERROR(SEARCH("DEAD",H122)))</formula>
    </cfRule>
    <cfRule type="containsText" dxfId="1378" priority="35" operator="containsText" text="HOLD">
      <formula>NOT(ISERROR(SEARCH("HOLD",H122)))</formula>
    </cfRule>
  </conditionalFormatting>
  <conditionalFormatting sqref="AI83">
    <cfRule type="cellIs" dxfId="1377" priority="31" operator="lessThan">
      <formula>R83</formula>
    </cfRule>
    <cfRule type="cellIs" dxfId="1376" priority="32" operator="greaterThan">
      <formula>R83</formula>
    </cfRule>
    <cfRule type="cellIs" dxfId="1375" priority="33" operator="equal">
      <formula>R83</formula>
    </cfRule>
  </conditionalFormatting>
  <conditionalFormatting sqref="R83">
    <cfRule type="cellIs" dxfId="1374" priority="30" operator="equal">
      <formula>0</formula>
    </cfRule>
  </conditionalFormatting>
  <conditionalFormatting sqref="H83:I83">
    <cfRule type="cellIs" dxfId="1373" priority="29" operator="equal">
      <formula>"TBD"</formula>
    </cfRule>
  </conditionalFormatting>
  <conditionalFormatting sqref="H83:I83">
    <cfRule type="containsText" dxfId="1372" priority="27" operator="containsText" text="DEAD">
      <formula>NOT(ISERROR(SEARCH("DEAD",H83)))</formula>
    </cfRule>
    <cfRule type="containsText" dxfId="1371" priority="28" operator="containsText" text="HOLD">
      <formula>NOT(ISERROR(SEARCH("HOLD",H83)))</formula>
    </cfRule>
  </conditionalFormatting>
  <conditionalFormatting sqref="AI142:AI151 AI89 AI16">
    <cfRule type="cellIs" dxfId="1370" priority="170" operator="greaterThan">
      <formula>$R$36</formula>
    </cfRule>
    <cfRule type="cellIs" dxfId="1369" priority="171" operator="lessThan">
      <formula>$R$36</formula>
    </cfRule>
    <cfRule type="cellIs" dxfId="1368" priority="172" operator="equal">
      <formula>$R$36</formula>
    </cfRule>
    <cfRule type="cellIs" dxfId="1367" priority="173" operator="equal">
      <formula>$S$36</formula>
    </cfRule>
  </conditionalFormatting>
  <conditionalFormatting sqref="K85:K86">
    <cfRule type="cellIs" dxfId="1366" priority="25" operator="equal">
      <formula>"no"</formula>
    </cfRule>
    <cfRule type="cellIs" dxfId="1365" priority="26" operator="equal">
      <formula>"yes"</formula>
    </cfRule>
  </conditionalFormatting>
  <conditionalFormatting sqref="D85:J86">
    <cfRule type="cellIs" dxfId="1364" priority="24" operator="equal">
      <formula>"TBD"</formula>
    </cfRule>
  </conditionalFormatting>
  <conditionalFormatting sqref="O148 O4:O20 O28:O35 O146 O37 O89:O131 O60 O68:O83">
    <cfRule type="cellIs" dxfId="1363" priority="23" operator="equal">
      <formula>0</formula>
    </cfRule>
  </conditionalFormatting>
  <conditionalFormatting sqref="O23:O25">
    <cfRule type="cellIs" dxfId="1362" priority="22" operator="equal">
      <formula>0</formula>
    </cfRule>
  </conditionalFormatting>
  <conditionalFormatting sqref="O41">
    <cfRule type="cellIs" dxfId="1361" priority="21" operator="equal">
      <formula>0</formula>
    </cfRule>
  </conditionalFormatting>
  <conditionalFormatting sqref="O44:O46">
    <cfRule type="cellIs" dxfId="1360" priority="20" operator="equal">
      <formula>0</formula>
    </cfRule>
  </conditionalFormatting>
  <conditionalFormatting sqref="O49:O51">
    <cfRule type="cellIs" dxfId="1359" priority="19" operator="equal">
      <formula>0</formula>
    </cfRule>
  </conditionalFormatting>
  <conditionalFormatting sqref="O54:O55">
    <cfRule type="cellIs" dxfId="1358" priority="18" operator="equal">
      <formula>0</formula>
    </cfRule>
  </conditionalFormatting>
  <conditionalFormatting sqref="O58:O62">
    <cfRule type="cellIs" dxfId="1357" priority="17" operator="equal">
      <formula>0</formula>
    </cfRule>
  </conditionalFormatting>
  <conditionalFormatting sqref="O65">
    <cfRule type="cellIs" dxfId="1356" priority="16" operator="equal">
      <formula>0</formula>
    </cfRule>
  </conditionalFormatting>
  <conditionalFormatting sqref="O86">
    <cfRule type="cellIs" dxfId="1355" priority="15" operator="equal">
      <formula>0</formula>
    </cfRule>
  </conditionalFormatting>
  <conditionalFormatting sqref="AI138">
    <cfRule type="cellIs" dxfId="1354" priority="12" operator="lessThan">
      <formula>R138</formula>
    </cfRule>
    <cfRule type="cellIs" dxfId="1353" priority="13" operator="greaterThan">
      <formula>R138</formula>
    </cfRule>
    <cfRule type="cellIs" dxfId="1352" priority="14" operator="equal">
      <formula>R138</formula>
    </cfRule>
  </conditionalFormatting>
  <conditionalFormatting sqref="K138">
    <cfRule type="cellIs" dxfId="1351" priority="10" operator="equal">
      <formula>"no"</formula>
    </cfRule>
    <cfRule type="cellIs" dxfId="1350" priority="11" operator="equal">
      <formula>"yes"</formula>
    </cfRule>
  </conditionalFormatting>
  <conditionalFormatting sqref="E138 H138:J138">
    <cfRule type="cellIs" dxfId="1349" priority="9" operator="equal">
      <formula>"TBD"</formula>
    </cfRule>
  </conditionalFormatting>
  <conditionalFormatting sqref="E138 H138:J138">
    <cfRule type="containsText" dxfId="1348" priority="7" operator="containsText" text="DEAD">
      <formula>NOT(ISERROR(SEARCH("DEAD",E138)))</formula>
    </cfRule>
    <cfRule type="containsText" dxfId="1347" priority="8" operator="containsText" text="HOLD">
      <formula>NOT(ISERROR(SEARCH("HOLD",E138)))</formula>
    </cfRule>
  </conditionalFormatting>
  <conditionalFormatting sqref="R138">
    <cfRule type="cellIs" dxfId="1346" priority="6" operator="equal">
      <formula>0</formula>
    </cfRule>
  </conditionalFormatting>
  <conditionalFormatting sqref="D139">
    <cfRule type="cellIs" dxfId="1345" priority="4" operator="equal">
      <formula>"SOLD"</formula>
    </cfRule>
  </conditionalFormatting>
  <conditionalFormatting sqref="C139:D139">
    <cfRule type="cellIs" dxfId="1344" priority="5" operator="equal">
      <formula>"TBD"</formula>
    </cfRule>
  </conditionalFormatting>
  <conditionalFormatting sqref="H80:I80">
    <cfRule type="cellIs" dxfId="1343" priority="3" operator="equal">
      <formula>"TBD"</formula>
    </cfRule>
  </conditionalFormatting>
  <conditionalFormatting sqref="H80:I80">
    <cfRule type="containsText" dxfId="1342" priority="1" operator="containsText" text="DEAD">
      <formula>NOT(ISERROR(SEARCH("DEAD",H80)))</formula>
    </cfRule>
    <cfRule type="containsText" dxfId="1341" priority="2" operator="containsText" text="HOLD">
      <formula>NOT(ISERROR(SEARCH("HOLD",H80)))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4EDF0-B9A1-4ADC-A68A-871338AAA59D}">
  <dimension ref="A1:AM185"/>
  <sheetViews>
    <sheetView zoomScale="85" zoomScaleNormal="85" zoomScaleSheetLayoutView="85" workbookViewId="0">
      <pane xSplit="2" ySplit="2" topLeftCell="AC3" activePane="bottomRight" state="frozen"/>
      <selection pane="topRight" activeCell="B1" sqref="B1"/>
      <selection pane="bottomLeft" activeCell="A3" sqref="A3"/>
      <selection pane="bottomRight" activeCell="AC21" sqref="AC21"/>
    </sheetView>
  </sheetViews>
  <sheetFormatPr defaultRowHeight="15" x14ac:dyDescent="0.25"/>
  <cols>
    <col min="1" max="1" width="12.42578125" customWidth="1"/>
    <col min="2" max="2" width="47.5703125" bestFit="1" customWidth="1"/>
    <col min="3" max="3" width="11" style="74" customWidth="1"/>
    <col min="4" max="4" width="12.42578125" style="74" customWidth="1"/>
    <col min="5" max="5" width="46.5703125" hidden="1" customWidth="1"/>
    <col min="6" max="7" width="16.5703125" style="74" hidden="1" customWidth="1"/>
    <col min="8" max="9" width="13.5703125" style="295" customWidth="1"/>
    <col min="10" max="10" width="13.5703125" style="296" customWidth="1"/>
    <col min="11" max="11" width="11.5703125" style="74" customWidth="1"/>
    <col min="12" max="12" width="13.5703125" style="74" customWidth="1"/>
    <col min="13" max="13" width="12.5703125" style="74" customWidth="1"/>
    <col min="14" max="14" width="12.5703125" style="74" hidden="1" customWidth="1"/>
    <col min="15" max="17" width="16.5703125" style="38" hidden="1" customWidth="1"/>
    <col min="18" max="18" width="18.5703125" style="78" customWidth="1"/>
    <col min="19" max="19" width="17.42578125" style="278" customWidth="1"/>
    <col min="20" max="20" width="19.5703125" style="277" hidden="1" customWidth="1"/>
    <col min="21" max="22" width="19.5703125" style="78" hidden="1" customWidth="1"/>
    <col min="23" max="25" width="19.5703125" style="81" hidden="1" customWidth="1"/>
    <col min="26" max="26" width="19.5703125" style="78" hidden="1" customWidth="1"/>
    <col min="27" max="30" width="19.5703125" style="78" customWidth="1"/>
    <col min="31" max="31" width="19.5703125" style="277" customWidth="1"/>
    <col min="32" max="32" width="18.42578125" style="277" customWidth="1"/>
    <col min="33" max="33" width="16.5703125" style="78" customWidth="1"/>
    <col min="34" max="34" width="3.42578125" style="79" customWidth="1"/>
    <col min="35" max="35" width="17.42578125" style="78" customWidth="1"/>
    <col min="36" max="36" width="3.42578125" style="79" customWidth="1"/>
    <col min="37" max="37" width="17.5703125" customWidth="1"/>
    <col min="38" max="38" width="76.5703125" bestFit="1" customWidth="1"/>
    <col min="39" max="39" width="10.5703125" bestFit="1" customWidth="1"/>
  </cols>
  <sheetData>
    <row r="1" spans="1:39" s="36" customFormat="1" ht="29.1" customHeight="1" x14ac:dyDescent="0.25">
      <c r="C1" s="37"/>
      <c r="D1" s="37"/>
      <c r="F1" s="37"/>
      <c r="G1" s="37"/>
      <c r="H1" s="293"/>
      <c r="I1" s="293"/>
      <c r="J1" s="38"/>
      <c r="K1" s="37"/>
      <c r="L1" s="37"/>
      <c r="M1" s="37"/>
      <c r="N1" s="37"/>
      <c r="O1" s="38"/>
      <c r="P1" s="38"/>
      <c r="Q1" s="38"/>
      <c r="R1" s="279"/>
      <c r="S1" s="280">
        <v>2020</v>
      </c>
      <c r="T1" s="529">
        <v>2021</v>
      </c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281">
        <v>2022</v>
      </c>
      <c r="AG1" s="282">
        <v>2023</v>
      </c>
      <c r="AH1" s="42"/>
      <c r="AI1" s="41"/>
      <c r="AJ1" s="42"/>
    </row>
    <row r="2" spans="1:39" s="292" customFormat="1" ht="47.25" x14ac:dyDescent="0.25">
      <c r="A2" s="284" t="s">
        <v>614</v>
      </c>
      <c r="B2" s="285" t="s">
        <v>613</v>
      </c>
      <c r="C2" s="286" t="s">
        <v>342</v>
      </c>
      <c r="D2" s="286" t="s">
        <v>343</v>
      </c>
      <c r="E2" s="285" t="s">
        <v>612</v>
      </c>
      <c r="F2" s="286" t="s">
        <v>12</v>
      </c>
      <c r="G2" s="286" t="s">
        <v>743</v>
      </c>
      <c r="H2" s="294" t="s">
        <v>615</v>
      </c>
      <c r="I2" s="294" t="s">
        <v>620</v>
      </c>
      <c r="J2" s="287" t="s">
        <v>619</v>
      </c>
      <c r="K2" s="286" t="s">
        <v>620</v>
      </c>
      <c r="L2" s="286" t="s">
        <v>345</v>
      </c>
      <c r="M2" s="286" t="s">
        <v>346</v>
      </c>
      <c r="N2" s="286" t="s">
        <v>681</v>
      </c>
      <c r="O2" s="287" t="s">
        <v>347</v>
      </c>
      <c r="P2" s="287" t="s">
        <v>644</v>
      </c>
      <c r="Q2" s="287" t="s">
        <v>645</v>
      </c>
      <c r="R2" s="82" t="s">
        <v>348</v>
      </c>
      <c r="S2" s="288" t="s">
        <v>629</v>
      </c>
      <c r="T2" s="82" t="s">
        <v>353</v>
      </c>
      <c r="U2" s="82" t="s">
        <v>354</v>
      </c>
      <c r="V2" s="82" t="s">
        <v>355</v>
      </c>
      <c r="W2" s="289" t="s">
        <v>356</v>
      </c>
      <c r="X2" s="289" t="s">
        <v>357</v>
      </c>
      <c r="Y2" s="82" t="s">
        <v>358</v>
      </c>
      <c r="Z2" s="82" t="s">
        <v>359</v>
      </c>
      <c r="AA2" s="289" t="s">
        <v>360</v>
      </c>
      <c r="AB2" s="82" t="s">
        <v>361</v>
      </c>
      <c r="AC2" s="82" t="s">
        <v>362</v>
      </c>
      <c r="AD2" s="289" t="s">
        <v>363</v>
      </c>
      <c r="AE2" s="82" t="s">
        <v>364</v>
      </c>
      <c r="AF2" s="82" t="s">
        <v>627</v>
      </c>
      <c r="AG2" s="289" t="s">
        <v>628</v>
      </c>
      <c r="AH2" s="290"/>
      <c r="AI2" s="82" t="s">
        <v>365</v>
      </c>
      <c r="AJ2" s="290"/>
      <c r="AK2" s="291" t="s">
        <v>366</v>
      </c>
      <c r="AL2" s="291" t="s">
        <v>547</v>
      </c>
    </row>
    <row r="3" spans="1:39" s="36" customFormat="1" ht="15.75" x14ac:dyDescent="0.25">
      <c r="A3" s="106" t="s">
        <v>27</v>
      </c>
      <c r="B3" s="107"/>
      <c r="C3" s="101" t="s">
        <v>368</v>
      </c>
      <c r="D3" s="102"/>
      <c r="E3" s="107"/>
      <c r="F3" s="102"/>
      <c r="G3" s="102"/>
      <c r="H3" s="276"/>
      <c r="I3" s="276"/>
      <c r="J3" s="84"/>
      <c r="K3" s="102"/>
      <c r="L3" s="102"/>
      <c r="M3" s="102"/>
      <c r="N3" s="102"/>
      <c r="O3" s="84"/>
      <c r="P3" s="84"/>
      <c r="Q3" s="84"/>
      <c r="R3" s="103"/>
      <c r="S3" s="85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47"/>
      <c r="AI3" s="103"/>
      <c r="AJ3" s="51"/>
    </row>
    <row r="4" spans="1:39" s="36" customFormat="1" ht="15.75" x14ac:dyDescent="0.25">
      <c r="A4" s="303" t="s">
        <v>284</v>
      </c>
      <c r="B4" s="304" t="s">
        <v>421</v>
      </c>
      <c r="C4" s="302" t="s">
        <v>368</v>
      </c>
      <c r="D4" s="302" t="s">
        <v>402</v>
      </c>
      <c r="E4" s="297" t="s">
        <v>286</v>
      </c>
      <c r="F4" s="302" t="s">
        <v>237</v>
      </c>
      <c r="G4" s="302"/>
      <c r="H4" s="318">
        <v>43867</v>
      </c>
      <c r="I4" s="318">
        <v>43952</v>
      </c>
      <c r="J4" s="331">
        <f t="shared" ref="J4:J20" si="0">I4-H4</f>
        <v>85</v>
      </c>
      <c r="K4" s="302" t="s">
        <v>370</v>
      </c>
      <c r="L4" s="318">
        <v>43983</v>
      </c>
      <c r="M4" s="318">
        <v>44155</v>
      </c>
      <c r="N4" s="318"/>
      <c r="O4" s="305">
        <f t="shared" ref="O4:O20" si="1">((M4-L4)/7)/4.3</f>
        <v>5.7142857142857153</v>
      </c>
      <c r="P4" s="305" t="s">
        <v>237</v>
      </c>
      <c r="Q4" s="305"/>
      <c r="R4" s="306">
        <f>660134-54144</f>
        <v>605990</v>
      </c>
      <c r="S4" s="115">
        <v>568347</v>
      </c>
      <c r="T4" s="115">
        <v>879</v>
      </c>
      <c r="U4" s="115">
        <v>35573</v>
      </c>
      <c r="V4" s="115">
        <v>656</v>
      </c>
      <c r="W4" s="115">
        <v>0</v>
      </c>
      <c r="X4" s="115">
        <v>0</v>
      </c>
      <c r="Y4" s="115">
        <v>535</v>
      </c>
      <c r="Z4" s="115">
        <v>0</v>
      </c>
      <c r="AA4" s="115">
        <v>0</v>
      </c>
      <c r="AB4" s="115">
        <v>0</v>
      </c>
      <c r="AC4" s="115">
        <v>0</v>
      </c>
      <c r="AD4" s="58"/>
      <c r="AE4" s="58"/>
      <c r="AF4" s="58"/>
      <c r="AG4" s="58"/>
      <c r="AH4" s="47"/>
      <c r="AI4" s="53">
        <f t="shared" ref="AI4:AI21" si="2">SUM(S4:AH4)</f>
        <v>605990</v>
      </c>
      <c r="AJ4" s="51"/>
      <c r="AK4" s="218">
        <f>ROUND(AI4-R4,-1)</f>
        <v>0</v>
      </c>
    </row>
    <row r="5" spans="1:39" s="36" customFormat="1" ht="15.75" x14ac:dyDescent="0.25">
      <c r="A5" s="307" t="s">
        <v>288</v>
      </c>
      <c r="B5" s="308" t="s">
        <v>289</v>
      </c>
      <c r="C5" s="302" t="s">
        <v>368</v>
      </c>
      <c r="D5" s="302" t="s">
        <v>659</v>
      </c>
      <c r="E5" s="297" t="s">
        <v>290</v>
      </c>
      <c r="F5" s="302" t="s">
        <v>237</v>
      </c>
      <c r="G5" s="302"/>
      <c r="H5" s="318">
        <v>43973</v>
      </c>
      <c r="I5" s="318">
        <v>44006</v>
      </c>
      <c r="J5" s="331">
        <f t="shared" si="0"/>
        <v>33</v>
      </c>
      <c r="K5" s="302" t="s">
        <v>370</v>
      </c>
      <c r="L5" s="318">
        <v>44048</v>
      </c>
      <c r="M5" s="318">
        <v>44237</v>
      </c>
      <c r="N5" s="318"/>
      <c r="O5" s="305">
        <f t="shared" si="1"/>
        <v>6.279069767441861</v>
      </c>
      <c r="P5" s="305" t="s">
        <v>237</v>
      </c>
      <c r="Q5" s="305"/>
      <c r="R5" s="306">
        <v>845876</v>
      </c>
      <c r="S5" s="115">
        <v>628337</v>
      </c>
      <c r="T5" s="115">
        <v>137155</v>
      </c>
      <c r="U5" s="177">
        <v>19492</v>
      </c>
      <c r="V5" s="115">
        <v>60892</v>
      </c>
      <c r="W5" s="242">
        <v>0</v>
      </c>
      <c r="X5" s="115">
        <v>0</v>
      </c>
      <c r="Y5" s="115">
        <v>0</v>
      </c>
      <c r="Z5" s="115">
        <v>0</v>
      </c>
      <c r="AA5" s="115">
        <v>0</v>
      </c>
      <c r="AB5" s="115">
        <v>0</v>
      </c>
      <c r="AC5" s="115">
        <v>0</v>
      </c>
      <c r="AD5" s="58"/>
      <c r="AE5" s="58"/>
      <c r="AF5" s="58"/>
      <c r="AG5" s="58"/>
      <c r="AH5" s="47"/>
      <c r="AI5" s="53">
        <f t="shared" si="2"/>
        <v>845876</v>
      </c>
      <c r="AJ5" s="51"/>
      <c r="AK5" s="218">
        <f t="shared" ref="AK5:AK68" si="3">ROUND(AI5-R5,-1)</f>
        <v>0</v>
      </c>
    </row>
    <row r="6" spans="1:39" s="36" customFormat="1" ht="15.75" x14ac:dyDescent="0.25">
      <c r="A6" s="303" t="s">
        <v>292</v>
      </c>
      <c r="B6" s="304" t="s">
        <v>293</v>
      </c>
      <c r="C6" s="302" t="s">
        <v>368</v>
      </c>
      <c r="D6" s="302" t="s">
        <v>659</v>
      </c>
      <c r="E6" s="297" t="s">
        <v>294</v>
      </c>
      <c r="F6" s="302" t="s">
        <v>237</v>
      </c>
      <c r="G6" s="302"/>
      <c r="H6" s="318">
        <v>44041</v>
      </c>
      <c r="I6" s="318">
        <v>44106</v>
      </c>
      <c r="J6" s="331">
        <f t="shared" si="0"/>
        <v>65</v>
      </c>
      <c r="K6" s="302" t="s">
        <v>370</v>
      </c>
      <c r="L6" s="318">
        <v>44102</v>
      </c>
      <c r="M6" s="318">
        <v>44241</v>
      </c>
      <c r="N6" s="318"/>
      <c r="O6" s="305">
        <f t="shared" si="1"/>
        <v>4.6179401993355489</v>
      </c>
      <c r="P6" s="305" t="s">
        <v>237</v>
      </c>
      <c r="Q6" s="305"/>
      <c r="R6" s="306">
        <v>303150</v>
      </c>
      <c r="S6" s="115">
        <v>162612</v>
      </c>
      <c r="T6" s="115">
        <v>95646</v>
      </c>
      <c r="U6" s="177">
        <v>33342</v>
      </c>
      <c r="V6" s="115">
        <v>5713</v>
      </c>
      <c r="W6" s="242">
        <v>5837</v>
      </c>
      <c r="X6" s="115">
        <v>0</v>
      </c>
      <c r="Y6" s="115">
        <v>0</v>
      </c>
      <c r="Z6" s="115">
        <v>0</v>
      </c>
      <c r="AA6" s="115">
        <v>0</v>
      </c>
      <c r="AB6" s="115">
        <v>0</v>
      </c>
      <c r="AC6" s="115">
        <v>0</v>
      </c>
      <c r="AD6" s="58"/>
      <c r="AE6" s="58"/>
      <c r="AF6" s="58"/>
      <c r="AG6" s="58"/>
      <c r="AH6" s="47"/>
      <c r="AI6" s="53">
        <f t="shared" si="2"/>
        <v>303150</v>
      </c>
      <c r="AJ6" s="51"/>
      <c r="AK6" s="218">
        <f t="shared" si="3"/>
        <v>0</v>
      </c>
    </row>
    <row r="7" spans="1:39" s="36" customFormat="1" ht="15.75" x14ac:dyDescent="0.25">
      <c r="A7" s="303" t="s">
        <v>295</v>
      </c>
      <c r="B7" s="304" t="s">
        <v>296</v>
      </c>
      <c r="C7" s="302" t="s">
        <v>368</v>
      </c>
      <c r="D7" s="302" t="s">
        <v>659</v>
      </c>
      <c r="E7" s="297" t="s">
        <v>616</v>
      </c>
      <c r="F7" s="302" t="s">
        <v>237</v>
      </c>
      <c r="G7" s="302"/>
      <c r="H7" s="318">
        <v>44007</v>
      </c>
      <c r="I7" s="318">
        <v>44029</v>
      </c>
      <c r="J7" s="331">
        <f t="shared" si="0"/>
        <v>22</v>
      </c>
      <c r="K7" s="302" t="s">
        <v>370</v>
      </c>
      <c r="L7" s="318">
        <v>44102</v>
      </c>
      <c r="M7" s="318">
        <v>44237</v>
      </c>
      <c r="N7" s="318"/>
      <c r="O7" s="305">
        <f t="shared" si="1"/>
        <v>4.485049833887043</v>
      </c>
      <c r="P7" s="305" t="s">
        <v>237</v>
      </c>
      <c r="Q7" s="305"/>
      <c r="R7" s="306">
        <v>222517</v>
      </c>
      <c r="S7" s="115">
        <v>131745</v>
      </c>
      <c r="T7" s="115">
        <v>62828</v>
      </c>
      <c r="U7" s="177">
        <v>27944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  <c r="AC7" s="115">
        <v>0</v>
      </c>
      <c r="AD7" s="58"/>
      <c r="AE7" s="58"/>
      <c r="AF7" s="58"/>
      <c r="AG7" s="58"/>
      <c r="AH7" s="47"/>
      <c r="AI7" s="53">
        <f t="shared" si="2"/>
        <v>222517</v>
      </c>
      <c r="AJ7" s="51"/>
      <c r="AK7" s="218">
        <f t="shared" si="3"/>
        <v>0</v>
      </c>
    </row>
    <row r="8" spans="1:39" s="36" customFormat="1" ht="15.75" x14ac:dyDescent="0.25">
      <c r="A8" s="34" t="s">
        <v>166</v>
      </c>
      <c r="B8" s="35" t="s">
        <v>168</v>
      </c>
      <c r="C8" s="298" t="s">
        <v>368</v>
      </c>
      <c r="D8" s="298" t="s">
        <v>402</v>
      </c>
      <c r="E8" s="300" t="s">
        <v>169</v>
      </c>
      <c r="F8" s="298" t="s">
        <v>46</v>
      </c>
      <c r="G8" s="298"/>
      <c r="H8" s="329">
        <v>44243</v>
      </c>
      <c r="I8" s="329">
        <v>44302</v>
      </c>
      <c r="J8" s="346">
        <f t="shared" si="0"/>
        <v>59</v>
      </c>
      <c r="K8" s="52" t="s">
        <v>370</v>
      </c>
      <c r="L8" s="329">
        <v>44319</v>
      </c>
      <c r="M8" s="298">
        <v>44505</v>
      </c>
      <c r="N8" s="298"/>
      <c r="O8" s="301">
        <f t="shared" si="1"/>
        <v>6.1794019933554827</v>
      </c>
      <c r="P8" s="301"/>
      <c r="Q8" s="301"/>
      <c r="R8" s="181">
        <v>1181870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154842</v>
      </c>
      <c r="Y8" s="115">
        <v>139424</v>
      </c>
      <c r="Z8" s="115">
        <v>0</v>
      </c>
      <c r="AA8" s="115">
        <v>383465</v>
      </c>
      <c r="AB8" s="115">
        <v>27725.91</v>
      </c>
      <c r="AC8" s="115">
        <v>0</v>
      </c>
      <c r="AD8" s="275">
        <v>150000</v>
      </c>
      <c r="AE8" s="275">
        <f>122274+54139</f>
        <v>176413</v>
      </c>
      <c r="AF8" s="275"/>
      <c r="AG8" s="53"/>
      <c r="AH8" s="47"/>
      <c r="AI8" s="53">
        <f t="shared" si="2"/>
        <v>1031869.91</v>
      </c>
      <c r="AJ8" s="51"/>
      <c r="AK8" s="218">
        <f t="shared" si="3"/>
        <v>-150000</v>
      </c>
      <c r="AM8" s="55"/>
    </row>
    <row r="9" spans="1:39" s="36" customFormat="1" ht="15.75" x14ac:dyDescent="0.25">
      <c r="A9" s="221" t="s">
        <v>23</v>
      </c>
      <c r="B9" s="309" t="s">
        <v>25</v>
      </c>
      <c r="C9" s="302" t="s">
        <v>368</v>
      </c>
      <c r="D9" s="302" t="s">
        <v>659</v>
      </c>
      <c r="E9" s="297" t="s">
        <v>26</v>
      </c>
      <c r="F9" s="302" t="s">
        <v>237</v>
      </c>
      <c r="G9" s="302"/>
      <c r="H9" s="328">
        <v>44046</v>
      </c>
      <c r="I9" s="328">
        <v>44162</v>
      </c>
      <c r="J9" s="331">
        <f t="shared" si="0"/>
        <v>116</v>
      </c>
      <c r="K9" s="310" t="s">
        <v>370</v>
      </c>
      <c r="L9" s="318">
        <v>44144</v>
      </c>
      <c r="M9" s="318">
        <v>44407</v>
      </c>
      <c r="N9" s="318"/>
      <c r="O9" s="311">
        <f t="shared" si="1"/>
        <v>8.7375415282392019</v>
      </c>
      <c r="P9" s="311" t="s">
        <v>237</v>
      </c>
      <c r="Q9" s="311"/>
      <c r="R9" s="306">
        <v>1307434</v>
      </c>
      <c r="S9" s="115">
        <v>244435</v>
      </c>
      <c r="T9" s="115">
        <v>181308</v>
      </c>
      <c r="U9" s="115">
        <v>16313</v>
      </c>
      <c r="V9" s="115">
        <v>286477</v>
      </c>
      <c r="W9" s="242">
        <v>175065</v>
      </c>
      <c r="X9" s="115">
        <v>254689</v>
      </c>
      <c r="Y9" s="115">
        <v>149147</v>
      </c>
      <c r="Z9" s="115">
        <v>0</v>
      </c>
      <c r="AA9" s="115">
        <v>0</v>
      </c>
      <c r="AB9" s="115">
        <v>0</v>
      </c>
      <c r="AC9" s="115">
        <v>0</v>
      </c>
      <c r="AD9" s="58"/>
      <c r="AE9" s="58"/>
      <c r="AF9" s="58"/>
      <c r="AG9" s="58"/>
      <c r="AH9" s="47"/>
      <c r="AI9" s="53">
        <f t="shared" si="2"/>
        <v>1307434</v>
      </c>
      <c r="AJ9" s="51"/>
      <c r="AK9" s="218">
        <f t="shared" si="3"/>
        <v>0</v>
      </c>
    </row>
    <row r="10" spans="1:39" s="36" customFormat="1" ht="15.75" x14ac:dyDescent="0.25">
      <c r="A10" s="221" t="s">
        <v>31</v>
      </c>
      <c r="B10" s="309" t="s">
        <v>745</v>
      </c>
      <c r="C10" s="302" t="s">
        <v>368</v>
      </c>
      <c r="D10" s="302" t="s">
        <v>659</v>
      </c>
      <c r="E10" s="297" t="s">
        <v>617</v>
      </c>
      <c r="F10" s="302" t="s">
        <v>237</v>
      </c>
      <c r="G10" s="302"/>
      <c r="H10" s="328">
        <v>44049</v>
      </c>
      <c r="I10" s="328">
        <v>44163</v>
      </c>
      <c r="J10" s="331">
        <f t="shared" si="0"/>
        <v>114</v>
      </c>
      <c r="K10" s="310" t="s">
        <v>370</v>
      </c>
      <c r="L10" s="318">
        <v>44144</v>
      </c>
      <c r="M10" s="318">
        <v>44418</v>
      </c>
      <c r="N10" s="318"/>
      <c r="O10" s="311">
        <f t="shared" si="1"/>
        <v>9.1029900332225928</v>
      </c>
      <c r="P10" s="311" t="s">
        <v>237</v>
      </c>
      <c r="Q10" s="311"/>
      <c r="R10" s="306">
        <f>267573-1</f>
        <v>267572</v>
      </c>
      <c r="S10" s="115">
        <v>46929</v>
      </c>
      <c r="T10" s="115">
        <v>38525</v>
      </c>
      <c r="U10" s="115">
        <v>0</v>
      </c>
      <c r="V10" s="115">
        <v>45735</v>
      </c>
      <c r="W10" s="242">
        <v>40858</v>
      </c>
      <c r="X10" s="115">
        <f>6750+26297</f>
        <v>33047</v>
      </c>
      <c r="Y10" s="115">
        <v>43566</v>
      </c>
      <c r="Z10" s="115">
        <v>18912</v>
      </c>
      <c r="AA10" s="115">
        <v>0</v>
      </c>
      <c r="AB10" s="115">
        <v>0</v>
      </c>
      <c r="AC10" s="115">
        <v>0</v>
      </c>
      <c r="AD10" s="58"/>
      <c r="AE10" s="58"/>
      <c r="AF10" s="58"/>
      <c r="AG10" s="58"/>
      <c r="AH10" s="47"/>
      <c r="AI10" s="53">
        <f t="shared" si="2"/>
        <v>267572</v>
      </c>
      <c r="AJ10" s="51"/>
      <c r="AK10" s="218">
        <f t="shared" si="3"/>
        <v>0</v>
      </c>
    </row>
    <row r="11" spans="1:39" s="36" customFormat="1" ht="15.75" x14ac:dyDescent="0.25">
      <c r="A11" s="221" t="s">
        <v>33</v>
      </c>
      <c r="B11" s="309" t="s">
        <v>746</v>
      </c>
      <c r="C11" s="302" t="s">
        <v>368</v>
      </c>
      <c r="D11" s="302" t="s">
        <v>659</v>
      </c>
      <c r="E11" s="297" t="s">
        <v>618</v>
      </c>
      <c r="F11" s="302" t="s">
        <v>237</v>
      </c>
      <c r="G11" s="302"/>
      <c r="H11" s="328">
        <v>44054</v>
      </c>
      <c r="I11" s="328">
        <v>44163</v>
      </c>
      <c r="J11" s="331">
        <f t="shared" si="0"/>
        <v>109</v>
      </c>
      <c r="K11" s="302" t="s">
        <v>370</v>
      </c>
      <c r="L11" s="318">
        <v>44144</v>
      </c>
      <c r="M11" s="318">
        <v>44410</v>
      </c>
      <c r="N11" s="318"/>
      <c r="O11" s="311">
        <f t="shared" si="1"/>
        <v>8.8372093023255811</v>
      </c>
      <c r="P11" s="311" t="s">
        <v>237</v>
      </c>
      <c r="Q11" s="311"/>
      <c r="R11" s="306">
        <v>231276</v>
      </c>
      <c r="S11" s="115">
        <v>34010</v>
      </c>
      <c r="T11" s="115">
        <v>31345</v>
      </c>
      <c r="U11" s="115">
        <v>0</v>
      </c>
      <c r="V11" s="115">
        <v>42608</v>
      </c>
      <c r="W11" s="242">
        <v>27037</v>
      </c>
      <c r="X11" s="115">
        <f>9333+19266</f>
        <v>28599</v>
      </c>
      <c r="Y11" s="115">
        <v>46383</v>
      </c>
      <c r="Z11" s="115">
        <f>6580+13609</f>
        <v>20189</v>
      </c>
      <c r="AA11" s="115">
        <v>1105</v>
      </c>
      <c r="AB11" s="115">
        <v>0</v>
      </c>
      <c r="AC11" s="115">
        <v>0</v>
      </c>
      <c r="AD11" s="58"/>
      <c r="AE11" s="58"/>
      <c r="AF11" s="58"/>
      <c r="AG11" s="58"/>
      <c r="AH11" s="47"/>
      <c r="AI11" s="53">
        <f t="shared" si="2"/>
        <v>231276</v>
      </c>
      <c r="AJ11" s="51"/>
      <c r="AK11" s="218">
        <f t="shared" si="3"/>
        <v>0</v>
      </c>
      <c r="AL11" s="36" t="s">
        <v>550</v>
      </c>
    </row>
    <row r="12" spans="1:39" s="36" customFormat="1" ht="15.75" x14ac:dyDescent="0.25">
      <c r="A12" s="221" t="s">
        <v>35</v>
      </c>
      <c r="B12" s="309" t="s">
        <v>36</v>
      </c>
      <c r="C12" s="310" t="s">
        <v>368</v>
      </c>
      <c r="D12" s="310" t="s">
        <v>401</v>
      </c>
      <c r="E12" s="297" t="s">
        <v>37</v>
      </c>
      <c r="F12" s="302" t="s">
        <v>237</v>
      </c>
      <c r="G12" s="302"/>
      <c r="H12" s="318">
        <v>44098</v>
      </c>
      <c r="I12" s="318">
        <v>44166</v>
      </c>
      <c r="J12" s="331">
        <f t="shared" si="0"/>
        <v>68</v>
      </c>
      <c r="K12" s="302" t="s">
        <v>370</v>
      </c>
      <c r="L12" s="318">
        <v>44241</v>
      </c>
      <c r="M12" s="318">
        <v>44412</v>
      </c>
      <c r="N12" s="318"/>
      <c r="O12" s="311">
        <f t="shared" si="1"/>
        <v>5.6810631229235877</v>
      </c>
      <c r="P12" s="311" t="s">
        <v>237</v>
      </c>
      <c r="Q12" s="311"/>
      <c r="R12" s="306">
        <v>984546</v>
      </c>
      <c r="S12" s="115">
        <v>230830</v>
      </c>
      <c r="T12" s="115">
        <v>155142</v>
      </c>
      <c r="U12" s="115">
        <v>20934</v>
      </c>
      <c r="V12" s="115">
        <v>247073</v>
      </c>
      <c r="W12" s="242">
        <v>88548</v>
      </c>
      <c r="X12" s="115">
        <f>14953+98288</f>
        <v>113241</v>
      </c>
      <c r="Y12" s="115">
        <v>61708</v>
      </c>
      <c r="Z12" s="115">
        <v>67070</v>
      </c>
      <c r="AA12" s="115">
        <v>0</v>
      </c>
      <c r="AB12" s="115">
        <v>0</v>
      </c>
      <c r="AC12" s="115">
        <v>0</v>
      </c>
      <c r="AD12" s="58"/>
      <c r="AE12" s="58"/>
      <c r="AF12" s="58"/>
      <c r="AG12" s="58"/>
      <c r="AH12" s="47"/>
      <c r="AI12" s="53">
        <f t="shared" si="2"/>
        <v>984546</v>
      </c>
      <c r="AJ12" s="51"/>
      <c r="AK12" s="218">
        <f t="shared" si="3"/>
        <v>0</v>
      </c>
    </row>
    <row r="13" spans="1:39" s="36" customFormat="1" ht="15.75" x14ac:dyDescent="0.25">
      <c r="A13" s="34" t="s">
        <v>170</v>
      </c>
      <c r="B13" s="35" t="s">
        <v>621</v>
      </c>
      <c r="C13" s="52" t="s">
        <v>368</v>
      </c>
      <c r="D13" s="52" t="s">
        <v>402</v>
      </c>
      <c r="E13" s="300" t="s">
        <v>172</v>
      </c>
      <c r="F13" s="52" t="s">
        <v>46</v>
      </c>
      <c r="G13" s="52"/>
      <c r="H13" s="329">
        <v>44201</v>
      </c>
      <c r="I13" s="329">
        <v>44302</v>
      </c>
      <c r="J13" s="346">
        <f t="shared" si="0"/>
        <v>101</v>
      </c>
      <c r="K13" s="299" t="s">
        <v>370</v>
      </c>
      <c r="L13" s="329">
        <v>44415</v>
      </c>
      <c r="M13" s="298">
        <v>44558</v>
      </c>
      <c r="N13" s="298"/>
      <c r="O13" s="50">
        <f t="shared" si="1"/>
        <v>4.750830564784053</v>
      </c>
      <c r="P13" s="50"/>
      <c r="Q13" s="50"/>
      <c r="R13" s="182">
        <v>1051400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f>111250</f>
        <v>111250</v>
      </c>
      <c r="Z13" s="115">
        <v>14446</v>
      </c>
      <c r="AA13" s="115">
        <v>326666</v>
      </c>
      <c r="AB13" s="115">
        <v>140279.28999999998</v>
      </c>
      <c r="AC13" s="115">
        <v>169323.90000000002</v>
      </c>
      <c r="AD13" s="275">
        <v>150000</v>
      </c>
      <c r="AE13" s="275">
        <v>90000</v>
      </c>
      <c r="AF13" s="275">
        <v>68758.709999999963</v>
      </c>
      <c r="AG13" s="53"/>
      <c r="AH13" s="47"/>
      <c r="AI13" s="53">
        <f t="shared" si="2"/>
        <v>1070723.8999999999</v>
      </c>
      <c r="AJ13" s="51"/>
      <c r="AK13" s="218">
        <f t="shared" si="3"/>
        <v>19320</v>
      </c>
      <c r="AM13" s="55"/>
    </row>
    <row r="14" spans="1:39" s="36" customFormat="1" ht="15.75" x14ac:dyDescent="0.25">
      <c r="A14" s="297" t="s">
        <v>41</v>
      </c>
      <c r="B14" s="314" t="s">
        <v>42</v>
      </c>
      <c r="C14" s="302" t="s">
        <v>368</v>
      </c>
      <c r="D14" s="302" t="s">
        <v>402</v>
      </c>
      <c r="E14" s="297" t="s">
        <v>43</v>
      </c>
      <c r="F14" s="302" t="s">
        <v>237</v>
      </c>
      <c r="G14" s="302"/>
      <c r="H14" s="318">
        <v>44225</v>
      </c>
      <c r="I14" s="318">
        <f>H14+35</f>
        <v>44260</v>
      </c>
      <c r="J14" s="331">
        <f t="shared" si="0"/>
        <v>35</v>
      </c>
      <c r="K14" s="302" t="s">
        <v>370</v>
      </c>
      <c r="L14" s="318">
        <v>44256</v>
      </c>
      <c r="M14" s="318">
        <v>44393</v>
      </c>
      <c r="N14" s="318"/>
      <c r="O14" s="305">
        <f t="shared" si="1"/>
        <v>4.5514950166112964</v>
      </c>
      <c r="P14" s="305" t="s">
        <v>237</v>
      </c>
      <c r="Q14" s="305"/>
      <c r="R14" s="306">
        <f>723063-1</f>
        <v>723062</v>
      </c>
      <c r="S14" s="115">
        <v>0</v>
      </c>
      <c r="T14" s="115">
        <v>0</v>
      </c>
      <c r="U14" s="115">
        <v>0</v>
      </c>
      <c r="V14" s="115">
        <v>79004</v>
      </c>
      <c r="W14" s="242">
        <v>201430</v>
      </c>
      <c r="X14" s="115">
        <f>30182+141103</f>
        <v>171285</v>
      </c>
      <c r="Y14" s="115">
        <v>187324</v>
      </c>
      <c r="Z14" s="115">
        <v>84019</v>
      </c>
      <c r="AA14" s="115">
        <v>0</v>
      </c>
      <c r="AB14" s="115">
        <v>0</v>
      </c>
      <c r="AC14" s="115">
        <v>0</v>
      </c>
      <c r="AD14" s="58"/>
      <c r="AE14" s="58"/>
      <c r="AF14" s="58"/>
      <c r="AG14" s="58"/>
      <c r="AH14" s="47"/>
      <c r="AI14" s="53">
        <f t="shared" si="2"/>
        <v>723062</v>
      </c>
      <c r="AJ14" s="51"/>
      <c r="AK14" s="218">
        <f t="shared" si="3"/>
        <v>0</v>
      </c>
      <c r="AM14" s="55"/>
    </row>
    <row r="15" spans="1:39" s="36" customFormat="1" ht="15.75" x14ac:dyDescent="0.25">
      <c r="A15" s="111" t="s">
        <v>174</v>
      </c>
      <c r="B15" s="112" t="s">
        <v>175</v>
      </c>
      <c r="C15" s="299" t="s">
        <v>368</v>
      </c>
      <c r="D15" s="299" t="s">
        <v>402</v>
      </c>
      <c r="E15" s="300" t="s">
        <v>172</v>
      </c>
      <c r="F15" s="299" t="s">
        <v>46</v>
      </c>
      <c r="G15" s="299"/>
      <c r="H15" s="329">
        <v>44362</v>
      </c>
      <c r="I15" s="329">
        <v>44418</v>
      </c>
      <c r="J15" s="346">
        <f t="shared" si="0"/>
        <v>56</v>
      </c>
      <c r="K15" s="52" t="s">
        <v>370</v>
      </c>
      <c r="L15" s="329">
        <v>44382</v>
      </c>
      <c r="M15" s="298">
        <v>44558</v>
      </c>
      <c r="N15" s="298"/>
      <c r="O15" s="50">
        <f t="shared" si="1"/>
        <v>5.8471760797342194</v>
      </c>
      <c r="P15" s="50"/>
      <c r="Q15" s="50"/>
      <c r="R15" s="182">
        <v>1367414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99756</v>
      </c>
      <c r="AB15" s="115">
        <v>330951.22000000003</v>
      </c>
      <c r="AC15" s="115">
        <v>217391.16</v>
      </c>
      <c r="AD15" s="275">
        <v>250000</v>
      </c>
      <c r="AE15" s="275">
        <v>250000</v>
      </c>
      <c r="AF15" s="275">
        <v>186706.78000000003</v>
      </c>
      <c r="AG15" s="53"/>
      <c r="AH15" s="47"/>
      <c r="AI15" s="53">
        <f t="shared" si="2"/>
        <v>1334805.1599999999</v>
      </c>
      <c r="AJ15" s="51"/>
      <c r="AK15" s="218">
        <f t="shared" si="3"/>
        <v>-32610</v>
      </c>
      <c r="AM15" s="55"/>
    </row>
    <row r="16" spans="1:39" s="36" customFormat="1" ht="15.75" x14ac:dyDescent="0.25">
      <c r="A16" s="113" t="s">
        <v>176</v>
      </c>
      <c r="B16" s="186" t="s">
        <v>177</v>
      </c>
      <c r="C16" s="52" t="s">
        <v>368</v>
      </c>
      <c r="D16" s="299" t="s">
        <v>402</v>
      </c>
      <c r="E16" s="114" t="s">
        <v>642</v>
      </c>
      <c r="F16" s="299" t="s">
        <v>46</v>
      </c>
      <c r="G16" s="299"/>
      <c r="H16" s="330">
        <v>44367</v>
      </c>
      <c r="I16" s="298">
        <v>44479</v>
      </c>
      <c r="J16" s="333">
        <f t="shared" si="0"/>
        <v>112</v>
      </c>
      <c r="K16" s="52" t="s">
        <v>370</v>
      </c>
      <c r="L16" s="347">
        <v>44445</v>
      </c>
      <c r="M16" s="347">
        <v>44589</v>
      </c>
      <c r="N16" s="52"/>
      <c r="O16" s="50">
        <f t="shared" si="1"/>
        <v>4.7840531561461797</v>
      </c>
      <c r="P16" s="50"/>
      <c r="Q16" s="50"/>
      <c r="R16" s="53">
        <v>280000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275">
        <v>50000</v>
      </c>
      <c r="AE16" s="275">
        <v>50000</v>
      </c>
      <c r="AF16" s="275">
        <v>130000</v>
      </c>
      <c r="AG16" s="53"/>
      <c r="AH16" s="47"/>
      <c r="AI16" s="53">
        <f t="shared" si="2"/>
        <v>230000</v>
      </c>
      <c r="AJ16" s="51"/>
      <c r="AK16" s="218">
        <f t="shared" si="3"/>
        <v>-50000</v>
      </c>
      <c r="AM16" s="55"/>
    </row>
    <row r="17" spans="1:39" s="36" customFormat="1" ht="15.75" x14ac:dyDescent="0.25">
      <c r="A17" s="312" t="s">
        <v>47</v>
      </c>
      <c r="B17" s="313" t="s">
        <v>48</v>
      </c>
      <c r="C17" s="310" t="s">
        <v>368</v>
      </c>
      <c r="D17" s="310" t="s">
        <v>401</v>
      </c>
      <c r="E17" s="313" t="s">
        <v>646</v>
      </c>
      <c r="F17" s="310" t="s">
        <v>237</v>
      </c>
      <c r="G17" s="310"/>
      <c r="H17" s="328">
        <v>44166</v>
      </c>
      <c r="I17" s="328">
        <v>44186</v>
      </c>
      <c r="J17" s="331">
        <f t="shared" si="0"/>
        <v>20</v>
      </c>
      <c r="K17" s="302" t="s">
        <v>370</v>
      </c>
      <c r="L17" s="328">
        <v>44228</v>
      </c>
      <c r="M17" s="318">
        <v>44286</v>
      </c>
      <c r="N17" s="318"/>
      <c r="O17" s="311">
        <f t="shared" si="1"/>
        <v>1.9269102990033224</v>
      </c>
      <c r="P17" s="311" t="s">
        <v>237</v>
      </c>
      <c r="Q17" s="311"/>
      <c r="R17" s="306">
        <v>81500</v>
      </c>
      <c r="S17" s="115">
        <v>0</v>
      </c>
      <c r="T17" s="115">
        <v>0</v>
      </c>
      <c r="U17" s="115">
        <v>0</v>
      </c>
      <c r="V17" s="115">
        <v>81500</v>
      </c>
      <c r="W17" s="242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58"/>
      <c r="AE17" s="58"/>
      <c r="AF17" s="58">
        <v>0</v>
      </c>
      <c r="AG17" s="58"/>
      <c r="AH17" s="47"/>
      <c r="AI17" s="53">
        <f t="shared" si="2"/>
        <v>81500</v>
      </c>
      <c r="AJ17" s="51"/>
      <c r="AK17" s="218">
        <f t="shared" si="3"/>
        <v>0</v>
      </c>
      <c r="AM17" s="55"/>
    </row>
    <row r="18" spans="1:39" s="36" customFormat="1" ht="15.75" x14ac:dyDescent="0.25">
      <c r="A18" s="113" t="s">
        <v>485</v>
      </c>
      <c r="B18" s="186" t="s">
        <v>599</v>
      </c>
      <c r="C18" s="87" t="s">
        <v>368</v>
      </c>
      <c r="D18" s="52" t="s">
        <v>401</v>
      </c>
      <c r="E18" s="35" t="s">
        <v>707</v>
      </c>
      <c r="F18" s="52" t="s">
        <v>46</v>
      </c>
      <c r="G18" s="52"/>
      <c r="H18" s="330">
        <v>44391</v>
      </c>
      <c r="I18" s="329">
        <v>44456</v>
      </c>
      <c r="J18" s="333">
        <f t="shared" si="0"/>
        <v>65</v>
      </c>
      <c r="K18" s="52" t="s">
        <v>370</v>
      </c>
      <c r="L18" s="347">
        <f>I18+30</f>
        <v>44486</v>
      </c>
      <c r="M18" s="52">
        <f>L18+(8*4.3*7)</f>
        <v>44726.8</v>
      </c>
      <c r="N18" s="52"/>
      <c r="O18" s="50">
        <f t="shared" si="1"/>
        <v>8.0000000000000977</v>
      </c>
      <c r="P18" s="50"/>
      <c r="Q18" s="50"/>
      <c r="R18" s="53">
        <v>1225500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192936.95</v>
      </c>
      <c r="AD18" s="275">
        <v>250000</v>
      </c>
      <c r="AE18" s="275">
        <v>250000</v>
      </c>
      <c r="AF18" s="275">
        <v>575500</v>
      </c>
      <c r="AG18" s="53"/>
      <c r="AH18" s="47"/>
      <c r="AI18" s="53">
        <f t="shared" si="2"/>
        <v>1268436.95</v>
      </c>
      <c r="AJ18" s="51"/>
      <c r="AK18" s="218">
        <f t="shared" si="3"/>
        <v>42940</v>
      </c>
      <c r="AM18" s="55"/>
    </row>
    <row r="19" spans="1:39" s="36" customFormat="1" ht="15.75" x14ac:dyDescent="0.25">
      <c r="A19" s="113" t="s">
        <v>486</v>
      </c>
      <c r="B19" s="114" t="s">
        <v>601</v>
      </c>
      <c r="C19" s="87" t="s">
        <v>368</v>
      </c>
      <c r="D19" s="52" t="s">
        <v>401</v>
      </c>
      <c r="E19" s="35" t="s">
        <v>705</v>
      </c>
      <c r="F19" s="52" t="s">
        <v>46</v>
      </c>
      <c r="G19" s="52"/>
      <c r="H19" s="299">
        <v>44477</v>
      </c>
      <c r="I19" s="87">
        <f>H19+45</f>
        <v>44522</v>
      </c>
      <c r="J19" s="50">
        <f t="shared" si="0"/>
        <v>45</v>
      </c>
      <c r="K19" s="52" t="s">
        <v>320</v>
      </c>
      <c r="L19" s="87">
        <f>I19+30</f>
        <v>44552</v>
      </c>
      <c r="M19" s="52">
        <f>L19+(6*4.3*7)</f>
        <v>44732.6</v>
      </c>
      <c r="N19" s="52"/>
      <c r="O19" s="50">
        <f t="shared" si="1"/>
        <v>5.999999999999952</v>
      </c>
      <c r="P19" s="50"/>
      <c r="Q19" s="50"/>
      <c r="R19" s="53">
        <v>242554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12582.01</v>
      </c>
      <c r="AD19" s="275">
        <v>50000</v>
      </c>
      <c r="AE19" s="275">
        <v>50000</v>
      </c>
      <c r="AF19" s="275">
        <v>117554</v>
      </c>
      <c r="AG19" s="53"/>
      <c r="AH19" s="47"/>
      <c r="AI19" s="53">
        <f t="shared" si="2"/>
        <v>230136.01</v>
      </c>
      <c r="AJ19" s="51"/>
      <c r="AK19" s="218">
        <f t="shared" si="3"/>
        <v>-12420</v>
      </c>
      <c r="AM19" s="55"/>
    </row>
    <row r="20" spans="1:39" s="36" customFormat="1" ht="15.75" x14ac:dyDescent="0.25">
      <c r="A20" s="113" t="s">
        <v>679</v>
      </c>
      <c r="B20" s="114" t="s">
        <v>600</v>
      </c>
      <c r="C20" s="87" t="s">
        <v>368</v>
      </c>
      <c r="D20" s="52" t="s">
        <v>401</v>
      </c>
      <c r="E20" s="35" t="s">
        <v>706</v>
      </c>
      <c r="F20" s="52" t="s">
        <v>46</v>
      </c>
      <c r="G20" s="52"/>
      <c r="H20" s="299">
        <v>44498</v>
      </c>
      <c r="I20" s="87">
        <f>H20+45</f>
        <v>44543</v>
      </c>
      <c r="J20" s="50">
        <f t="shared" si="0"/>
        <v>45</v>
      </c>
      <c r="K20" s="52" t="s">
        <v>320</v>
      </c>
      <c r="L20" s="87">
        <f>I20+30</f>
        <v>44573</v>
      </c>
      <c r="M20" s="52">
        <f>L20+(6*4.3*7)</f>
        <v>44753.599999999999</v>
      </c>
      <c r="N20" s="52"/>
      <c r="O20" s="50">
        <f t="shared" si="1"/>
        <v>5.999999999999952</v>
      </c>
      <c r="P20" s="50"/>
      <c r="Q20" s="50"/>
      <c r="R20" s="53">
        <v>380405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34445.589999999997</v>
      </c>
      <c r="AD20" s="275">
        <v>50000</v>
      </c>
      <c r="AE20" s="275">
        <v>50000</v>
      </c>
      <c r="AF20" s="275">
        <v>255405</v>
      </c>
      <c r="AG20" s="53"/>
      <c r="AH20" s="47"/>
      <c r="AI20" s="53">
        <f t="shared" si="2"/>
        <v>389850.58999999997</v>
      </c>
      <c r="AJ20" s="51"/>
      <c r="AK20" s="218">
        <f t="shared" si="3"/>
        <v>9450</v>
      </c>
      <c r="AM20" s="55"/>
    </row>
    <row r="21" spans="1:39" s="36" customFormat="1" ht="15.75" x14ac:dyDescent="0.25">
      <c r="A21" s="95"/>
      <c r="B21" s="95"/>
      <c r="C21" s="91"/>
      <c r="D21" s="91"/>
      <c r="E21" s="95"/>
      <c r="F21" s="91"/>
      <c r="G21" s="91"/>
      <c r="H21" s="91"/>
      <c r="I21" s="91"/>
      <c r="J21" s="92"/>
      <c r="K21" s="91"/>
      <c r="L21" s="91"/>
      <c r="M21" s="91"/>
      <c r="N21" s="91"/>
      <c r="O21" s="92"/>
      <c r="P21" s="92"/>
      <c r="Q21" s="92"/>
      <c r="R21" s="243">
        <f t="shared" ref="R21:AG21" si="4">SUM(R4:R20)</f>
        <v>11302066</v>
      </c>
      <c r="S21" s="243">
        <f t="shared" si="4"/>
        <v>2047245</v>
      </c>
      <c r="T21" s="243">
        <f t="shared" si="4"/>
        <v>702828</v>
      </c>
      <c r="U21" s="243">
        <f t="shared" si="4"/>
        <v>153598</v>
      </c>
      <c r="V21" s="243">
        <f t="shared" si="4"/>
        <v>849658</v>
      </c>
      <c r="W21" s="243">
        <f t="shared" si="4"/>
        <v>538775</v>
      </c>
      <c r="X21" s="243">
        <f t="shared" si="4"/>
        <v>755703</v>
      </c>
      <c r="Y21" s="243">
        <f t="shared" si="4"/>
        <v>739337</v>
      </c>
      <c r="Z21" s="243">
        <f t="shared" si="4"/>
        <v>204636</v>
      </c>
      <c r="AA21" s="243">
        <f t="shared" si="4"/>
        <v>810992</v>
      </c>
      <c r="AB21" s="243">
        <f>SUM(AB4:AB20)</f>
        <v>498956.42000000004</v>
      </c>
      <c r="AC21" s="243">
        <f t="shared" si="4"/>
        <v>626679.61</v>
      </c>
      <c r="AD21" s="243">
        <f t="shared" si="4"/>
        <v>950000</v>
      </c>
      <c r="AE21" s="243">
        <f t="shared" si="4"/>
        <v>916413</v>
      </c>
      <c r="AF21" s="243">
        <f t="shared" si="4"/>
        <v>1333924.49</v>
      </c>
      <c r="AG21" s="243">
        <f t="shared" si="4"/>
        <v>0</v>
      </c>
      <c r="AH21" s="47"/>
      <c r="AI21" s="59">
        <f t="shared" si="2"/>
        <v>11128745.520000001</v>
      </c>
      <c r="AJ21" s="51"/>
      <c r="AK21" s="218">
        <f t="shared" si="3"/>
        <v>-173320</v>
      </c>
    </row>
    <row r="22" spans="1:39" s="36" customFormat="1" ht="15.75" x14ac:dyDescent="0.25">
      <c r="A22" s="106" t="s">
        <v>119</v>
      </c>
      <c r="B22" s="107"/>
      <c r="C22" s="101" t="s">
        <v>387</v>
      </c>
      <c r="D22" s="102"/>
      <c r="E22" s="107"/>
      <c r="F22" s="102"/>
      <c r="G22" s="102"/>
      <c r="H22" s="276"/>
      <c r="I22" s="276"/>
      <c r="J22" s="84"/>
      <c r="K22" s="102"/>
      <c r="L22" s="102"/>
      <c r="M22" s="102"/>
      <c r="N22" s="102"/>
      <c r="O22" s="84"/>
      <c r="P22" s="84"/>
      <c r="Q22" s="84"/>
      <c r="R22" s="193"/>
      <c r="S22" s="85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47"/>
      <c r="AI22" s="85"/>
      <c r="AJ22" s="51"/>
      <c r="AK22" s="218">
        <f t="shared" si="3"/>
        <v>0</v>
      </c>
    </row>
    <row r="23" spans="1:39" s="36" customFormat="1" ht="15.75" x14ac:dyDescent="0.25">
      <c r="A23" s="221" t="s">
        <v>116</v>
      </c>
      <c r="B23" s="309" t="s">
        <v>117</v>
      </c>
      <c r="C23" s="310" t="s">
        <v>387</v>
      </c>
      <c r="D23" s="310" t="s">
        <v>402</v>
      </c>
      <c r="E23" s="315" t="s">
        <v>624</v>
      </c>
      <c r="F23" s="310" t="s">
        <v>237</v>
      </c>
      <c r="G23" s="310"/>
      <c r="H23" s="318">
        <v>44317</v>
      </c>
      <c r="I23" s="318">
        <v>44378</v>
      </c>
      <c r="J23" s="331">
        <f>I23-H23</f>
        <v>61</v>
      </c>
      <c r="K23" s="310" t="s">
        <v>370</v>
      </c>
      <c r="L23" s="318">
        <v>44075</v>
      </c>
      <c r="M23" s="318">
        <v>44286</v>
      </c>
      <c r="N23" s="318"/>
      <c r="O23" s="311">
        <f>((M23-L23)/7)/4.3</f>
        <v>7.0099667774086383</v>
      </c>
      <c r="P23" s="311" t="s">
        <v>237</v>
      </c>
      <c r="Q23" s="311"/>
      <c r="R23" s="306">
        <v>940687</v>
      </c>
      <c r="S23" s="115">
        <v>720455</v>
      </c>
      <c r="T23" s="115">
        <v>114649</v>
      </c>
      <c r="U23" s="115">
        <v>0</v>
      </c>
      <c r="V23" s="115">
        <v>105583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47"/>
      <c r="AI23" s="53">
        <f>SUM(S23:AH23)</f>
        <v>940687</v>
      </c>
      <c r="AJ23" s="51"/>
      <c r="AK23" s="218">
        <f t="shared" si="3"/>
        <v>0</v>
      </c>
    </row>
    <row r="24" spans="1:39" s="36" customFormat="1" ht="15.75" x14ac:dyDescent="0.25">
      <c r="A24" s="222" t="s">
        <v>121</v>
      </c>
      <c r="B24" s="315" t="s">
        <v>122</v>
      </c>
      <c r="C24" s="310" t="s">
        <v>387</v>
      </c>
      <c r="D24" s="310" t="s">
        <v>402</v>
      </c>
      <c r="E24" s="315" t="s">
        <v>123</v>
      </c>
      <c r="F24" s="310" t="s">
        <v>237</v>
      </c>
      <c r="G24" s="310"/>
      <c r="H24" s="318">
        <v>44317</v>
      </c>
      <c r="I24" s="318">
        <v>44378</v>
      </c>
      <c r="J24" s="331">
        <f>I24-H24</f>
        <v>61</v>
      </c>
      <c r="K24" s="310" t="s">
        <v>370</v>
      </c>
      <c r="L24" s="318">
        <v>44136</v>
      </c>
      <c r="M24" s="318">
        <v>44286</v>
      </c>
      <c r="N24" s="318"/>
      <c r="O24" s="311">
        <f>((M24-L24)/7)/4.3</f>
        <v>4.9833887043189371</v>
      </c>
      <c r="P24" s="311" t="s">
        <v>237</v>
      </c>
      <c r="Q24" s="311"/>
      <c r="R24" s="306">
        <v>226188</v>
      </c>
      <c r="S24" s="115">
        <v>64622</v>
      </c>
      <c r="T24" s="115">
        <v>39562</v>
      </c>
      <c r="U24" s="115">
        <v>18328</v>
      </c>
      <c r="V24" s="115">
        <v>101052</v>
      </c>
      <c r="W24" s="115">
        <v>2624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47"/>
      <c r="AI24" s="53">
        <f>SUM(S24:AH24)</f>
        <v>226188</v>
      </c>
      <c r="AJ24" s="51"/>
      <c r="AK24" s="218">
        <f t="shared" si="3"/>
        <v>0</v>
      </c>
    </row>
    <row r="25" spans="1:39" s="36" customFormat="1" ht="15.75" x14ac:dyDescent="0.25">
      <c r="A25" s="222" t="s">
        <v>124</v>
      </c>
      <c r="B25" s="315" t="s">
        <v>125</v>
      </c>
      <c r="C25" s="310" t="s">
        <v>387</v>
      </c>
      <c r="D25" s="310" t="s">
        <v>402</v>
      </c>
      <c r="E25" s="315" t="s">
        <v>126</v>
      </c>
      <c r="F25" s="310" t="s">
        <v>237</v>
      </c>
      <c r="G25" s="310"/>
      <c r="H25" s="318">
        <v>44317</v>
      </c>
      <c r="I25" s="318">
        <v>44378</v>
      </c>
      <c r="J25" s="331">
        <f>I25-H25</f>
        <v>61</v>
      </c>
      <c r="K25" s="310" t="s">
        <v>370</v>
      </c>
      <c r="L25" s="318">
        <v>44136</v>
      </c>
      <c r="M25" s="318">
        <v>44286</v>
      </c>
      <c r="N25" s="318"/>
      <c r="O25" s="311">
        <f>((M25-L25)/7)/4.3</f>
        <v>4.9833887043189371</v>
      </c>
      <c r="P25" s="311" t="s">
        <v>237</v>
      </c>
      <c r="Q25" s="311"/>
      <c r="R25" s="306">
        <v>315962</v>
      </c>
      <c r="S25" s="115">
        <v>124791</v>
      </c>
      <c r="T25" s="115">
        <v>64927</v>
      </c>
      <c r="U25" s="115">
        <v>25844</v>
      </c>
      <c r="V25" s="115">
        <v>98461</v>
      </c>
      <c r="W25" s="115">
        <v>1939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47"/>
      <c r="AI25" s="53">
        <f>SUM(S25:AH25)</f>
        <v>315962</v>
      </c>
      <c r="AJ25" s="51"/>
      <c r="AK25" s="218">
        <f t="shared" si="3"/>
        <v>0</v>
      </c>
    </row>
    <row r="26" spans="1:39" s="36" customFormat="1" ht="15.75" x14ac:dyDescent="0.25">
      <c r="A26" s="97"/>
      <c r="B26" s="98"/>
      <c r="C26" s="91"/>
      <c r="D26" s="91"/>
      <c r="E26" s="98"/>
      <c r="F26" s="91"/>
      <c r="G26" s="91"/>
      <c r="H26" s="91"/>
      <c r="I26" s="91"/>
      <c r="J26" s="92"/>
      <c r="K26" s="91"/>
      <c r="L26" s="91"/>
      <c r="M26" s="91"/>
      <c r="N26" s="91"/>
      <c r="O26" s="92"/>
      <c r="P26" s="92"/>
      <c r="Q26" s="92"/>
      <c r="R26" s="59">
        <f t="shared" ref="R26:AG26" si="5">SUM(R23:R25)</f>
        <v>1482837</v>
      </c>
      <c r="S26" s="59">
        <f t="shared" si="5"/>
        <v>909868</v>
      </c>
      <c r="T26" s="59">
        <f t="shared" si="5"/>
        <v>219138</v>
      </c>
      <c r="U26" s="59">
        <f t="shared" si="5"/>
        <v>44172</v>
      </c>
      <c r="V26" s="59">
        <f t="shared" si="5"/>
        <v>305096</v>
      </c>
      <c r="W26" s="59">
        <f t="shared" si="5"/>
        <v>4563</v>
      </c>
      <c r="X26" s="59">
        <f t="shared" si="5"/>
        <v>0</v>
      </c>
      <c r="Y26" s="59">
        <f t="shared" si="5"/>
        <v>0</v>
      </c>
      <c r="Z26" s="59">
        <f t="shared" si="5"/>
        <v>0</v>
      </c>
      <c r="AA26" s="59">
        <f t="shared" si="5"/>
        <v>0</v>
      </c>
      <c r="AB26" s="59">
        <f t="shared" si="5"/>
        <v>0</v>
      </c>
      <c r="AC26" s="59">
        <f t="shared" si="5"/>
        <v>0</v>
      </c>
      <c r="AD26" s="59">
        <f t="shared" si="5"/>
        <v>0</v>
      </c>
      <c r="AE26" s="59">
        <f t="shared" si="5"/>
        <v>0</v>
      </c>
      <c r="AF26" s="59">
        <f t="shared" si="5"/>
        <v>0</v>
      </c>
      <c r="AG26" s="59">
        <f t="shared" si="5"/>
        <v>0</v>
      </c>
      <c r="AH26" s="47"/>
      <c r="AI26" s="53">
        <f>SUM(S26:AH26)</f>
        <v>1482837</v>
      </c>
      <c r="AJ26" s="51"/>
      <c r="AK26" s="218">
        <f t="shared" si="3"/>
        <v>0</v>
      </c>
    </row>
    <row r="27" spans="1:39" s="36" customFormat="1" ht="15.75" x14ac:dyDescent="0.25">
      <c r="A27" s="106" t="s">
        <v>379</v>
      </c>
      <c r="B27" s="107"/>
      <c r="C27" s="101" t="s">
        <v>380</v>
      </c>
      <c r="D27" s="102"/>
      <c r="E27" s="107"/>
      <c r="F27" s="102"/>
      <c r="G27" s="102"/>
      <c r="H27" s="276"/>
      <c r="I27" s="276"/>
      <c r="J27" s="84"/>
      <c r="K27" s="102"/>
      <c r="L27" s="102"/>
      <c r="M27" s="102"/>
      <c r="N27" s="102"/>
      <c r="O27" s="84"/>
      <c r="P27" s="84"/>
      <c r="Q27" s="84"/>
      <c r="R27" s="193"/>
      <c r="S27" s="85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47"/>
      <c r="AI27" s="85"/>
      <c r="AJ27" s="51"/>
      <c r="AK27" s="218">
        <f t="shared" si="3"/>
        <v>0</v>
      </c>
    </row>
    <row r="28" spans="1:39" s="36" customFormat="1" ht="15.75" x14ac:dyDescent="0.25">
      <c r="A28" s="319" t="s">
        <v>546</v>
      </c>
      <c r="B28" s="319" t="s">
        <v>610</v>
      </c>
      <c r="C28" s="321" t="s">
        <v>380</v>
      </c>
      <c r="D28" s="321" t="s">
        <v>575</v>
      </c>
      <c r="E28" s="319" t="s">
        <v>682</v>
      </c>
      <c r="F28" s="321" t="s">
        <v>46</v>
      </c>
      <c r="G28" s="321"/>
      <c r="H28" s="332" t="s">
        <v>24</v>
      </c>
      <c r="I28" s="332" t="s">
        <v>24</v>
      </c>
      <c r="J28" s="343" t="s">
        <v>24</v>
      </c>
      <c r="K28" s="332" t="s">
        <v>24</v>
      </c>
      <c r="L28" s="332">
        <v>44330</v>
      </c>
      <c r="M28" s="332">
        <v>44391</v>
      </c>
      <c r="N28" s="321"/>
      <c r="O28" s="322">
        <f t="shared" ref="O28:O35" si="6">((M28-L28)/7)/4.3</f>
        <v>2.0265780730897007</v>
      </c>
      <c r="P28" s="322"/>
      <c r="Q28" s="322"/>
      <c r="R28" s="323">
        <v>46806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46806</v>
      </c>
      <c r="AB28" s="115">
        <v>0</v>
      </c>
      <c r="AC28" s="115">
        <v>0</v>
      </c>
      <c r="AD28" s="58"/>
      <c r="AE28" s="58"/>
      <c r="AF28" s="58"/>
      <c r="AG28" s="58"/>
      <c r="AH28" s="47"/>
      <c r="AI28" s="53">
        <f t="shared" ref="AI28:AI38" si="7">SUM(S28:AH28)</f>
        <v>46806</v>
      </c>
      <c r="AJ28" s="51"/>
      <c r="AK28" s="218">
        <f t="shared" si="3"/>
        <v>0</v>
      </c>
    </row>
    <row r="29" spans="1:39" s="36" customFormat="1" ht="15.75" x14ac:dyDescent="0.25">
      <c r="A29" s="60" t="s">
        <v>495</v>
      </c>
      <c r="B29" s="61" t="s">
        <v>712</v>
      </c>
      <c r="C29" s="52" t="s">
        <v>380</v>
      </c>
      <c r="D29" s="52" t="s">
        <v>575</v>
      </c>
      <c r="E29" s="61" t="s">
        <v>264</v>
      </c>
      <c r="F29" s="52" t="s">
        <v>46</v>
      </c>
      <c r="G29" s="52"/>
      <c r="H29" s="330">
        <v>44348</v>
      </c>
      <c r="I29" s="330">
        <v>44362</v>
      </c>
      <c r="J29" s="333">
        <f t="shared" ref="J29:J35" si="8">I29-H29</f>
        <v>14</v>
      </c>
      <c r="K29" s="52" t="s">
        <v>370</v>
      </c>
      <c r="L29" s="330">
        <v>44344</v>
      </c>
      <c r="M29" s="52">
        <v>44497</v>
      </c>
      <c r="N29" s="52"/>
      <c r="O29" s="50">
        <f t="shared" si="6"/>
        <v>5.0830564784053163</v>
      </c>
      <c r="P29" s="50"/>
      <c r="Q29" s="50"/>
      <c r="R29" s="182">
        <v>89125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58100</v>
      </c>
      <c r="AB29" s="115">
        <v>0</v>
      </c>
      <c r="AC29" s="115">
        <v>0</v>
      </c>
      <c r="AD29" s="58"/>
      <c r="AE29" s="58"/>
      <c r="AF29" s="58">
        <v>31025</v>
      </c>
      <c r="AG29" s="53"/>
      <c r="AH29" s="47"/>
      <c r="AI29" s="53">
        <f t="shared" si="7"/>
        <v>89125</v>
      </c>
      <c r="AJ29" s="51"/>
      <c r="AK29" s="218">
        <f t="shared" si="3"/>
        <v>0</v>
      </c>
      <c r="AM29" s="55"/>
    </row>
    <row r="30" spans="1:39" s="36" customFormat="1" ht="15.75" x14ac:dyDescent="0.25">
      <c r="A30" s="316" t="s">
        <v>551</v>
      </c>
      <c r="B30" s="317" t="s">
        <v>713</v>
      </c>
      <c r="C30" s="310" t="s">
        <v>380</v>
      </c>
      <c r="D30" s="310" t="s">
        <v>575</v>
      </c>
      <c r="E30" s="317" t="s">
        <v>625</v>
      </c>
      <c r="F30" s="310" t="s">
        <v>46</v>
      </c>
      <c r="G30" s="310"/>
      <c r="H30" s="318">
        <v>44348</v>
      </c>
      <c r="I30" s="318">
        <v>44362</v>
      </c>
      <c r="J30" s="331">
        <f t="shared" si="8"/>
        <v>14</v>
      </c>
      <c r="K30" s="310" t="s">
        <v>370</v>
      </c>
      <c r="L30" s="318">
        <v>44353</v>
      </c>
      <c r="M30" s="318">
        <v>44442</v>
      </c>
      <c r="N30" s="310"/>
      <c r="O30" s="311">
        <f t="shared" si="6"/>
        <v>2.9568106312292359</v>
      </c>
      <c r="P30" s="311"/>
      <c r="Q30" s="311"/>
      <c r="R30" s="306">
        <v>75650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75650</v>
      </c>
      <c r="AB30" s="115">
        <v>0</v>
      </c>
      <c r="AC30" s="115">
        <v>0</v>
      </c>
      <c r="AD30" s="58"/>
      <c r="AE30" s="58"/>
      <c r="AF30" s="58"/>
      <c r="AG30" s="53"/>
      <c r="AH30" s="47"/>
      <c r="AI30" s="53">
        <f t="shared" si="7"/>
        <v>75650</v>
      </c>
      <c r="AJ30" s="51"/>
      <c r="AK30" s="218">
        <f t="shared" si="3"/>
        <v>0</v>
      </c>
    </row>
    <row r="31" spans="1:39" s="36" customFormat="1" ht="15.75" x14ac:dyDescent="0.25">
      <c r="A31" s="60" t="s">
        <v>65</v>
      </c>
      <c r="B31" s="350" t="s">
        <v>531</v>
      </c>
      <c r="C31" s="52" t="s">
        <v>380</v>
      </c>
      <c r="D31" s="52" t="s">
        <v>575</v>
      </c>
      <c r="E31" s="61" t="s">
        <v>67</v>
      </c>
      <c r="F31" s="52" t="s">
        <v>46</v>
      </c>
      <c r="G31" s="52"/>
      <c r="H31" s="329">
        <v>43929</v>
      </c>
      <c r="I31" s="329">
        <v>44004</v>
      </c>
      <c r="J31" s="333">
        <f t="shared" si="8"/>
        <v>75</v>
      </c>
      <c r="K31" s="52" t="s">
        <v>370</v>
      </c>
      <c r="L31" s="330">
        <v>44004</v>
      </c>
      <c r="M31" s="347">
        <v>44469</v>
      </c>
      <c r="N31" s="87"/>
      <c r="O31" s="50">
        <f t="shared" si="6"/>
        <v>15.448504983388705</v>
      </c>
      <c r="P31" s="50"/>
      <c r="Q31" s="50"/>
      <c r="R31" s="182">
        <f>2471535+10495</f>
        <v>2482030</v>
      </c>
      <c r="S31" s="115">
        <v>1788494</v>
      </c>
      <c r="T31" s="115">
        <v>93223</v>
      </c>
      <c r="U31" s="115">
        <v>-90886</v>
      </c>
      <c r="V31" s="115">
        <v>247214</v>
      </c>
      <c r="W31" s="115">
        <f>164452+38564</f>
        <v>203016</v>
      </c>
      <c r="X31" s="115">
        <v>0</v>
      </c>
      <c r="Y31" s="115">
        <v>88152</v>
      </c>
      <c r="Z31" s="115">
        <f>20348+132469</f>
        <v>152817</v>
      </c>
      <c r="AA31" s="115">
        <v>0</v>
      </c>
      <c r="AB31" s="115">
        <v>0</v>
      </c>
      <c r="AC31" s="115">
        <v>0</v>
      </c>
      <c r="AD31" s="58"/>
      <c r="AE31" s="58"/>
      <c r="AF31" s="58"/>
      <c r="AG31" s="58"/>
      <c r="AH31" s="47"/>
      <c r="AI31" s="53">
        <f t="shared" si="7"/>
        <v>2482030</v>
      </c>
      <c r="AJ31" s="51"/>
      <c r="AK31" s="218">
        <f t="shared" si="3"/>
        <v>0</v>
      </c>
    </row>
    <row r="32" spans="1:39" s="36" customFormat="1" ht="15.75" x14ac:dyDescent="0.25">
      <c r="A32" s="34" t="s">
        <v>383</v>
      </c>
      <c r="B32" s="35" t="s">
        <v>384</v>
      </c>
      <c r="C32" s="52" t="s">
        <v>380</v>
      </c>
      <c r="D32" s="52" t="s">
        <v>575</v>
      </c>
      <c r="E32" s="300" t="s">
        <v>89</v>
      </c>
      <c r="F32" s="52" t="s">
        <v>46</v>
      </c>
      <c r="G32" s="52"/>
      <c r="H32" s="329">
        <v>44071</v>
      </c>
      <c r="I32" s="329">
        <v>44260</v>
      </c>
      <c r="J32" s="333">
        <f t="shared" si="8"/>
        <v>189</v>
      </c>
      <c r="K32" s="52" t="s">
        <v>370</v>
      </c>
      <c r="L32" s="329">
        <v>44290</v>
      </c>
      <c r="M32" s="87">
        <v>44484</v>
      </c>
      <c r="N32" s="87"/>
      <c r="O32" s="50">
        <f t="shared" si="6"/>
        <v>6.4451827242524926</v>
      </c>
      <c r="P32" s="50"/>
      <c r="Q32" s="50"/>
      <c r="R32" s="182">
        <v>683158</v>
      </c>
      <c r="S32" s="115">
        <v>65749</v>
      </c>
      <c r="T32" s="115">
        <v>0</v>
      </c>
      <c r="U32" s="115">
        <v>0</v>
      </c>
      <c r="V32" s="115">
        <v>72518</v>
      </c>
      <c r="W32" s="115">
        <v>31182</v>
      </c>
      <c r="X32" s="115">
        <v>36101</v>
      </c>
      <c r="Y32" s="115">
        <v>79510</v>
      </c>
      <c r="Z32" s="115">
        <f>53107+111611</f>
        <v>164718</v>
      </c>
      <c r="AA32" s="115">
        <v>104045</v>
      </c>
      <c r="AB32" s="115">
        <v>68162.760000000009</v>
      </c>
      <c r="AC32" s="115">
        <v>61173.01</v>
      </c>
      <c r="AD32" s="58"/>
      <c r="AE32" s="53"/>
      <c r="AF32" s="53">
        <v>21837.239999999991</v>
      </c>
      <c r="AG32" s="53"/>
      <c r="AH32" s="47"/>
      <c r="AI32" s="53">
        <f t="shared" si="7"/>
        <v>704996.01</v>
      </c>
      <c r="AJ32" s="51"/>
      <c r="AK32" s="218">
        <f t="shared" si="3"/>
        <v>21840</v>
      </c>
      <c r="AM32" s="55"/>
    </row>
    <row r="33" spans="1:39" s="36" customFormat="1" ht="15.75" x14ac:dyDescent="0.25">
      <c r="A33" s="34" t="s">
        <v>92</v>
      </c>
      <c r="B33" s="35" t="s">
        <v>543</v>
      </c>
      <c r="C33" s="52" t="s">
        <v>380</v>
      </c>
      <c r="D33" s="52" t="s">
        <v>575</v>
      </c>
      <c r="E33" s="35" t="s">
        <v>94</v>
      </c>
      <c r="F33" s="52" t="s">
        <v>46</v>
      </c>
      <c r="G33" s="52"/>
      <c r="H33" s="330">
        <v>44120</v>
      </c>
      <c r="I33" s="330">
        <v>44246</v>
      </c>
      <c r="J33" s="333">
        <f t="shared" si="8"/>
        <v>126</v>
      </c>
      <c r="K33" s="52" t="s">
        <v>370</v>
      </c>
      <c r="L33" s="329">
        <v>44256</v>
      </c>
      <c r="M33" s="87">
        <v>44557</v>
      </c>
      <c r="N33" s="87"/>
      <c r="O33" s="50">
        <f t="shared" si="6"/>
        <v>10</v>
      </c>
      <c r="P33" s="50"/>
      <c r="Q33" s="50"/>
      <c r="R33" s="182">
        <v>1436404</v>
      </c>
      <c r="S33" s="115">
        <v>91138</v>
      </c>
      <c r="T33" s="115">
        <v>0</v>
      </c>
      <c r="U33" s="115">
        <v>0</v>
      </c>
      <c r="V33" s="115">
        <v>0</v>
      </c>
      <c r="W33" s="115">
        <v>55754</v>
      </c>
      <c r="X33" s="115">
        <f>82399+102660</f>
        <v>185059</v>
      </c>
      <c r="Y33" s="115">
        <v>486176</v>
      </c>
      <c r="Z33" s="115">
        <v>117904</v>
      </c>
      <c r="AA33" s="115">
        <v>116211</v>
      </c>
      <c r="AB33" s="115">
        <v>178250.15</v>
      </c>
      <c r="AC33" s="115">
        <v>0</v>
      </c>
      <c r="AD33" s="275">
        <v>100000</v>
      </c>
      <c r="AE33" s="275">
        <v>34162</v>
      </c>
      <c r="AF33" s="58">
        <v>-53250.149999999907</v>
      </c>
      <c r="AG33" s="53"/>
      <c r="AH33" s="47"/>
      <c r="AI33" s="53">
        <f t="shared" si="7"/>
        <v>1311404</v>
      </c>
      <c r="AJ33" s="51"/>
      <c r="AK33" s="218">
        <f t="shared" si="3"/>
        <v>-125000</v>
      </c>
      <c r="AM33" s="55"/>
    </row>
    <row r="34" spans="1:39" s="36" customFormat="1" ht="15.75" x14ac:dyDescent="0.25">
      <c r="A34" s="34" t="s">
        <v>96</v>
      </c>
      <c r="B34" s="35" t="s">
        <v>97</v>
      </c>
      <c r="C34" s="52" t="s">
        <v>380</v>
      </c>
      <c r="D34" s="52" t="s">
        <v>575</v>
      </c>
      <c r="E34" s="35" t="s">
        <v>98</v>
      </c>
      <c r="F34" s="52" t="s">
        <v>46</v>
      </c>
      <c r="G34" s="52"/>
      <c r="H34" s="330">
        <v>44168</v>
      </c>
      <c r="I34" s="330">
        <v>44280</v>
      </c>
      <c r="J34" s="333">
        <f t="shared" si="8"/>
        <v>112</v>
      </c>
      <c r="K34" s="52" t="s">
        <v>370</v>
      </c>
      <c r="L34" s="329">
        <v>44284</v>
      </c>
      <c r="M34" s="87">
        <v>44524.800000000003</v>
      </c>
      <c r="N34" s="87"/>
      <c r="O34" s="50">
        <f t="shared" si="6"/>
        <v>8.0000000000000977</v>
      </c>
      <c r="P34" s="50"/>
      <c r="Q34" s="50"/>
      <c r="R34" s="182">
        <v>648253</v>
      </c>
      <c r="S34" s="115">
        <v>124344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82390</v>
      </c>
      <c r="Z34" s="115">
        <v>0</v>
      </c>
      <c r="AA34" s="115">
        <v>125825</v>
      </c>
      <c r="AB34" s="115">
        <v>199275.86</v>
      </c>
      <c r="AC34" s="115">
        <v>49841.62</v>
      </c>
      <c r="AD34" s="275">
        <v>85694</v>
      </c>
      <c r="AE34" s="58"/>
      <c r="AF34" s="53">
        <v>-69275.859999999986</v>
      </c>
      <c r="AG34" s="53"/>
      <c r="AH34" s="47"/>
      <c r="AI34" s="53">
        <f t="shared" si="7"/>
        <v>598094.62</v>
      </c>
      <c r="AJ34" s="51"/>
      <c r="AK34" s="218">
        <f t="shared" si="3"/>
        <v>-50160</v>
      </c>
      <c r="AM34" s="55"/>
    </row>
    <row r="35" spans="1:39" s="36" customFormat="1" ht="15.75" x14ac:dyDescent="0.25">
      <c r="A35" s="60" t="s">
        <v>99</v>
      </c>
      <c r="B35" s="61" t="s">
        <v>100</v>
      </c>
      <c r="C35" s="52" t="s">
        <v>380</v>
      </c>
      <c r="D35" s="52" t="s">
        <v>575</v>
      </c>
      <c r="E35" s="61" t="s">
        <v>101</v>
      </c>
      <c r="F35" s="52" t="s">
        <v>46</v>
      </c>
      <c r="G35" s="52"/>
      <c r="H35" s="330">
        <v>44168</v>
      </c>
      <c r="I35" s="330">
        <v>44280</v>
      </c>
      <c r="J35" s="333">
        <f t="shared" si="8"/>
        <v>112</v>
      </c>
      <c r="K35" s="52" t="s">
        <v>370</v>
      </c>
      <c r="L35" s="329">
        <v>44284</v>
      </c>
      <c r="M35" s="87">
        <v>44524</v>
      </c>
      <c r="N35" s="87"/>
      <c r="O35" s="50">
        <f t="shared" si="6"/>
        <v>7.9734219269102988</v>
      </c>
      <c r="P35" s="50"/>
      <c r="Q35" s="50"/>
      <c r="R35" s="182">
        <v>400187</v>
      </c>
      <c r="S35" s="115">
        <v>14681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50940</v>
      </c>
      <c r="Z35" s="115">
        <v>0</v>
      </c>
      <c r="AA35" s="115">
        <v>231205</v>
      </c>
      <c r="AB35" s="115">
        <v>53980.66</v>
      </c>
      <c r="AC35" s="115">
        <v>26603.7</v>
      </c>
      <c r="AD35" s="275">
        <v>3361</v>
      </c>
      <c r="AE35" s="58"/>
      <c r="AF35" s="53">
        <v>-3980.6600000000326</v>
      </c>
      <c r="AG35" s="53"/>
      <c r="AH35" s="47"/>
      <c r="AI35" s="53">
        <f t="shared" si="7"/>
        <v>376790.7</v>
      </c>
      <c r="AJ35" s="51"/>
      <c r="AK35" s="218">
        <f t="shared" si="3"/>
        <v>-23400</v>
      </c>
      <c r="AM35" s="55"/>
    </row>
    <row r="36" spans="1:39" s="36" customFormat="1" ht="15.75" x14ac:dyDescent="0.25">
      <c r="A36" s="113" t="s">
        <v>102</v>
      </c>
      <c r="B36" s="114" t="s">
        <v>385</v>
      </c>
      <c r="C36" s="52" t="s">
        <v>380</v>
      </c>
      <c r="D36" s="52" t="s">
        <v>575</v>
      </c>
      <c r="E36" s="114" t="s">
        <v>626</v>
      </c>
      <c r="F36" s="52" t="s">
        <v>46</v>
      </c>
      <c r="G36" s="52"/>
      <c r="H36" s="330" t="s">
        <v>24</v>
      </c>
      <c r="I36" s="330" t="s">
        <v>24</v>
      </c>
      <c r="J36" s="333" t="s">
        <v>24</v>
      </c>
      <c r="K36" s="333" t="s">
        <v>24</v>
      </c>
      <c r="L36" s="333" t="s">
        <v>24</v>
      </c>
      <c r="M36" s="333" t="s">
        <v>24</v>
      </c>
      <c r="N36" s="333" t="s">
        <v>24</v>
      </c>
      <c r="O36" s="333" t="s">
        <v>24</v>
      </c>
      <c r="P36" s="333" t="s">
        <v>24</v>
      </c>
      <c r="Q36" s="333" t="s">
        <v>24</v>
      </c>
      <c r="R36" s="86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v>0</v>
      </c>
      <c r="AD36" s="58"/>
      <c r="AE36" s="58"/>
      <c r="AF36" s="58"/>
      <c r="AG36" s="58"/>
      <c r="AH36" s="47"/>
      <c r="AI36" s="53">
        <f t="shared" si="7"/>
        <v>0</v>
      </c>
      <c r="AJ36" s="51"/>
      <c r="AK36" s="218">
        <f t="shared" si="3"/>
        <v>0</v>
      </c>
    </row>
    <row r="37" spans="1:39" s="36" customFormat="1" ht="15.75" x14ac:dyDescent="0.25">
      <c r="A37" s="113" t="s">
        <v>107</v>
      </c>
      <c r="B37" s="186" t="s">
        <v>108</v>
      </c>
      <c r="C37" s="52" t="s">
        <v>380</v>
      </c>
      <c r="D37" s="52" t="s">
        <v>575</v>
      </c>
      <c r="E37" s="114" t="s">
        <v>109</v>
      </c>
      <c r="F37" s="52" t="s">
        <v>46</v>
      </c>
      <c r="G37" s="52"/>
      <c r="H37" s="330">
        <v>44419</v>
      </c>
      <c r="I37" s="299">
        <v>44477</v>
      </c>
      <c r="J37" s="333">
        <f>I37-H37</f>
        <v>58</v>
      </c>
      <c r="K37" s="52" t="s">
        <v>370</v>
      </c>
      <c r="L37" s="347">
        <v>44454</v>
      </c>
      <c r="M37" s="52">
        <v>44526.400000000001</v>
      </c>
      <c r="N37" s="52"/>
      <c r="O37" s="50">
        <f>((M37-L37)/7)/4.3</f>
        <v>2.4053156146179888</v>
      </c>
      <c r="P37" s="50"/>
      <c r="Q37" s="50"/>
      <c r="R37" s="86">
        <v>330000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275">
        <v>85000</v>
      </c>
      <c r="AE37" s="275">
        <v>75000</v>
      </c>
      <c r="AF37" s="58">
        <v>85000</v>
      </c>
      <c r="AG37" s="53"/>
      <c r="AH37" s="47"/>
      <c r="AI37" s="53">
        <f t="shared" si="7"/>
        <v>245000</v>
      </c>
      <c r="AJ37" s="51"/>
      <c r="AK37" s="218">
        <f t="shared" si="3"/>
        <v>-85000</v>
      </c>
      <c r="AM37" s="55"/>
    </row>
    <row r="38" spans="1:39" s="36" customFormat="1" ht="15.75" x14ac:dyDescent="0.25">
      <c r="A38" s="93"/>
      <c r="B38" s="94"/>
      <c r="C38" s="91"/>
      <c r="D38" s="91"/>
      <c r="E38" s="94"/>
      <c r="F38" s="91"/>
      <c r="G38" s="91"/>
      <c r="H38" s="91"/>
      <c r="I38" s="91"/>
      <c r="J38" s="92"/>
      <c r="K38" s="91"/>
      <c r="L38" s="91"/>
      <c r="M38" s="91"/>
      <c r="N38" s="91"/>
      <c r="O38" s="92"/>
      <c r="P38" s="92"/>
      <c r="Q38" s="92"/>
      <c r="R38" s="59">
        <f t="shared" ref="R38:AG38" si="9">SUM(R28:R37)</f>
        <v>6191613</v>
      </c>
      <c r="S38" s="59">
        <f t="shared" si="9"/>
        <v>2084406</v>
      </c>
      <c r="T38" s="59">
        <f t="shared" si="9"/>
        <v>93223</v>
      </c>
      <c r="U38" s="59">
        <f t="shared" si="9"/>
        <v>-90886</v>
      </c>
      <c r="V38" s="59">
        <f t="shared" si="9"/>
        <v>319732</v>
      </c>
      <c r="W38" s="59">
        <f t="shared" si="9"/>
        <v>289952</v>
      </c>
      <c r="X38" s="59">
        <f t="shared" si="9"/>
        <v>221160</v>
      </c>
      <c r="Y38" s="59">
        <f t="shared" si="9"/>
        <v>787168</v>
      </c>
      <c r="Z38" s="59">
        <f t="shared" si="9"/>
        <v>435439</v>
      </c>
      <c r="AA38" s="59">
        <f t="shared" si="9"/>
        <v>757842</v>
      </c>
      <c r="AB38" s="59">
        <f t="shared" si="9"/>
        <v>499669.43000000005</v>
      </c>
      <c r="AC38" s="59">
        <f t="shared" si="9"/>
        <v>137618.33000000002</v>
      </c>
      <c r="AD38" s="59">
        <f t="shared" si="9"/>
        <v>274055</v>
      </c>
      <c r="AE38" s="59">
        <f t="shared" si="9"/>
        <v>109162</v>
      </c>
      <c r="AF38" s="59">
        <f t="shared" si="9"/>
        <v>11355.570000000065</v>
      </c>
      <c r="AG38" s="59">
        <f t="shared" si="9"/>
        <v>0</v>
      </c>
      <c r="AH38" s="47"/>
      <c r="AI38" s="53">
        <f t="shared" si="7"/>
        <v>5929896.3300000001</v>
      </c>
      <c r="AJ38" s="51"/>
      <c r="AK38" s="218">
        <f t="shared" si="3"/>
        <v>-261720</v>
      </c>
      <c r="AM38" s="55"/>
    </row>
    <row r="39" spans="1:39" s="36" customFormat="1" ht="15.75" x14ac:dyDescent="0.25">
      <c r="A39" s="106" t="s">
        <v>536</v>
      </c>
      <c r="B39" s="107"/>
      <c r="C39" s="101" t="s">
        <v>567</v>
      </c>
      <c r="D39" s="102"/>
      <c r="E39" s="107"/>
      <c r="F39" s="102"/>
      <c r="G39" s="102"/>
      <c r="H39" s="276"/>
      <c r="I39" s="276"/>
      <c r="J39" s="84"/>
      <c r="K39" s="102"/>
      <c r="L39" s="102"/>
      <c r="M39" s="102"/>
      <c r="N39" s="102"/>
      <c r="O39" s="84"/>
      <c r="P39" s="84"/>
      <c r="Q39" s="84"/>
      <c r="R39" s="193"/>
      <c r="S39" s="85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47"/>
      <c r="AI39" s="85"/>
      <c r="AJ39" s="51"/>
      <c r="AK39" s="218">
        <f t="shared" si="3"/>
        <v>0</v>
      </c>
    </row>
    <row r="40" spans="1:39" s="36" customFormat="1" ht="15.75" x14ac:dyDescent="0.25">
      <c r="A40" s="325" t="s">
        <v>434</v>
      </c>
      <c r="B40" s="326" t="s">
        <v>537</v>
      </c>
      <c r="C40" s="310" t="s">
        <v>567</v>
      </c>
      <c r="D40" s="310" t="s">
        <v>567</v>
      </c>
      <c r="E40" s="326"/>
      <c r="F40" s="310" t="s">
        <v>237</v>
      </c>
      <c r="G40" s="310"/>
      <c r="H40" s="318" t="s">
        <v>24</v>
      </c>
      <c r="I40" s="318" t="s">
        <v>24</v>
      </c>
      <c r="J40" s="331" t="s">
        <v>24</v>
      </c>
      <c r="K40" s="331" t="s">
        <v>24</v>
      </c>
      <c r="L40" s="318" t="s">
        <v>24</v>
      </c>
      <c r="M40" s="318" t="s">
        <v>24</v>
      </c>
      <c r="N40" s="318" t="s">
        <v>24</v>
      </c>
      <c r="O40" s="318" t="s">
        <v>24</v>
      </c>
      <c r="P40" s="318" t="s">
        <v>24</v>
      </c>
      <c r="Q40" s="310"/>
      <c r="R40" s="327">
        <f>353138+108818</f>
        <v>461956</v>
      </c>
      <c r="S40" s="115">
        <v>0</v>
      </c>
      <c r="T40" s="115">
        <v>353138</v>
      </c>
      <c r="U40" s="115">
        <v>108818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/>
      <c r="AC40" s="115">
        <v>0</v>
      </c>
      <c r="AD40" s="58"/>
      <c r="AE40" s="58"/>
      <c r="AF40" s="58"/>
      <c r="AG40" s="58"/>
      <c r="AH40" s="47"/>
      <c r="AI40" s="53">
        <f>SUM(S40:AH40)</f>
        <v>461956</v>
      </c>
      <c r="AJ40" s="51"/>
      <c r="AK40" s="218">
        <f t="shared" si="3"/>
        <v>0</v>
      </c>
    </row>
    <row r="41" spans="1:39" s="36" customFormat="1" ht="15.75" x14ac:dyDescent="0.25">
      <c r="A41" s="179" t="s">
        <v>197</v>
      </c>
      <c r="B41" s="180" t="s">
        <v>198</v>
      </c>
      <c r="C41" s="52" t="s">
        <v>567</v>
      </c>
      <c r="D41" s="52" t="s">
        <v>567</v>
      </c>
      <c r="E41" s="180" t="s">
        <v>683</v>
      </c>
      <c r="F41" s="52" t="s">
        <v>46</v>
      </c>
      <c r="G41" s="52"/>
      <c r="H41" s="330" t="s">
        <v>24</v>
      </c>
      <c r="I41" s="330" t="s">
        <v>24</v>
      </c>
      <c r="J41" s="333" t="s">
        <v>24</v>
      </c>
      <c r="K41" s="52" t="s">
        <v>370</v>
      </c>
      <c r="L41" s="330">
        <v>44195</v>
      </c>
      <c r="M41" s="52">
        <v>44469</v>
      </c>
      <c r="N41" s="52"/>
      <c r="O41" s="50">
        <f>((M41-L41)/7)/4.3</f>
        <v>9.1029900332225928</v>
      </c>
      <c r="P41" s="50"/>
      <c r="Q41" s="50"/>
      <c r="R41" s="247">
        <v>500577</v>
      </c>
      <c r="S41" s="115">
        <v>0</v>
      </c>
      <c r="T41" s="115">
        <v>0</v>
      </c>
      <c r="U41" s="115">
        <v>17615</v>
      </c>
      <c r="V41" s="115">
        <v>71648</v>
      </c>
      <c r="W41" s="115">
        <v>0</v>
      </c>
      <c r="X41" s="115">
        <v>97695</v>
      </c>
      <c r="Y41" s="115">
        <v>103125</v>
      </c>
      <c r="Z41" s="115">
        <v>92500</v>
      </c>
      <c r="AA41" s="115">
        <v>117994</v>
      </c>
      <c r="AB41" s="115"/>
      <c r="AC41" s="115">
        <v>0.02</v>
      </c>
      <c r="AD41" s="58"/>
      <c r="AE41" s="58"/>
      <c r="AF41" s="58"/>
      <c r="AG41" s="58"/>
      <c r="AH41" s="47"/>
      <c r="AI41" s="53">
        <f>SUM(S41:AH41)</f>
        <v>500577.02</v>
      </c>
      <c r="AJ41" s="51"/>
      <c r="AK41" s="218">
        <f t="shared" si="3"/>
        <v>0</v>
      </c>
    </row>
    <row r="42" spans="1:39" s="36" customFormat="1" ht="15.75" x14ac:dyDescent="0.25">
      <c r="A42" s="93"/>
      <c r="B42" s="94"/>
      <c r="C42" s="91"/>
      <c r="D42" s="91"/>
      <c r="E42" s="94"/>
      <c r="F42" s="91"/>
      <c r="G42" s="91"/>
      <c r="H42" s="91"/>
      <c r="I42" s="91"/>
      <c r="J42" s="92"/>
      <c r="K42" s="91"/>
      <c r="L42" s="91"/>
      <c r="M42" s="91"/>
      <c r="N42" s="91"/>
      <c r="O42" s="92"/>
      <c r="P42" s="92"/>
      <c r="Q42" s="92"/>
      <c r="R42" s="243">
        <f t="shared" ref="R42:AG42" si="10">SUM(R40:R41)</f>
        <v>962533</v>
      </c>
      <c r="S42" s="59">
        <f t="shared" si="10"/>
        <v>0</v>
      </c>
      <c r="T42" s="59">
        <f t="shared" si="10"/>
        <v>353138</v>
      </c>
      <c r="U42" s="59">
        <f t="shared" si="10"/>
        <v>126433</v>
      </c>
      <c r="V42" s="59">
        <f t="shared" si="10"/>
        <v>71648</v>
      </c>
      <c r="W42" s="59">
        <f t="shared" si="10"/>
        <v>0</v>
      </c>
      <c r="X42" s="59">
        <f t="shared" si="10"/>
        <v>97695</v>
      </c>
      <c r="Y42" s="59">
        <f t="shared" si="10"/>
        <v>103125</v>
      </c>
      <c r="Z42" s="59">
        <f t="shared" si="10"/>
        <v>92500</v>
      </c>
      <c r="AA42" s="59">
        <f t="shared" si="10"/>
        <v>117994</v>
      </c>
      <c r="AB42" s="59">
        <f t="shared" si="10"/>
        <v>0</v>
      </c>
      <c r="AC42" s="59">
        <f t="shared" si="10"/>
        <v>0.02</v>
      </c>
      <c r="AD42" s="59">
        <f t="shared" si="10"/>
        <v>0</v>
      </c>
      <c r="AE42" s="59">
        <f t="shared" si="10"/>
        <v>0</v>
      </c>
      <c r="AF42" s="59">
        <f t="shared" si="10"/>
        <v>0</v>
      </c>
      <c r="AG42" s="59">
        <f t="shared" si="10"/>
        <v>0</v>
      </c>
      <c r="AH42" s="47"/>
      <c r="AI42" s="53">
        <f>SUM(S42:AH42)</f>
        <v>962533.02</v>
      </c>
      <c r="AJ42" s="51"/>
      <c r="AK42" s="218">
        <f t="shared" si="3"/>
        <v>0</v>
      </c>
    </row>
    <row r="43" spans="1:39" s="36" customFormat="1" ht="15.75" x14ac:dyDescent="0.25">
      <c r="A43" s="106" t="s">
        <v>569</v>
      </c>
      <c r="B43" s="107"/>
      <c r="C43" s="101" t="s">
        <v>562</v>
      </c>
      <c r="D43" s="102"/>
      <c r="E43" s="107"/>
      <c r="F43" s="102"/>
      <c r="G43" s="102"/>
      <c r="H43" s="276"/>
      <c r="I43" s="276"/>
      <c r="J43" s="84"/>
      <c r="K43" s="102"/>
      <c r="L43" s="102"/>
      <c r="M43" s="102"/>
      <c r="N43" s="102"/>
      <c r="O43" s="84"/>
      <c r="P43" s="84"/>
      <c r="Q43" s="84"/>
      <c r="R43" s="193"/>
      <c r="S43" s="85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47"/>
      <c r="AI43" s="85"/>
      <c r="AJ43" s="51"/>
      <c r="AK43" s="218">
        <f t="shared" si="3"/>
        <v>0</v>
      </c>
    </row>
    <row r="44" spans="1:39" s="36" customFormat="1" ht="15.75" x14ac:dyDescent="0.25">
      <c r="A44" s="334" t="s">
        <v>127</v>
      </c>
      <c r="B44" s="335" t="s">
        <v>396</v>
      </c>
      <c r="C44" s="321" t="s">
        <v>562</v>
      </c>
      <c r="D44" s="321" t="s">
        <v>402</v>
      </c>
      <c r="E44" s="335" t="s">
        <v>447</v>
      </c>
      <c r="F44" s="321" t="s">
        <v>46</v>
      </c>
      <c r="G44" s="321"/>
      <c r="H44" s="332">
        <v>44253</v>
      </c>
      <c r="I44" s="332">
        <v>44272</v>
      </c>
      <c r="J44" s="343">
        <f>I44-H44</f>
        <v>19</v>
      </c>
      <c r="K44" s="321" t="s">
        <v>370</v>
      </c>
      <c r="L44" s="332">
        <v>44272</v>
      </c>
      <c r="M44" s="332">
        <v>44435</v>
      </c>
      <c r="N44" s="332"/>
      <c r="O44" s="322">
        <f>((M44-L44)/7)/4.3</f>
        <v>5.4152823920265778</v>
      </c>
      <c r="P44" s="322"/>
      <c r="Q44" s="322"/>
      <c r="R44" s="323">
        <v>383545</v>
      </c>
      <c r="S44" s="115">
        <v>0</v>
      </c>
      <c r="T44" s="115">
        <v>0</v>
      </c>
      <c r="U44" s="115">
        <v>0</v>
      </c>
      <c r="V44" s="115">
        <v>0</v>
      </c>
      <c r="W44" s="115">
        <f>84179+34753</f>
        <v>118932</v>
      </c>
      <c r="X44" s="115">
        <f>93305+17005</f>
        <v>110310</v>
      </c>
      <c r="Y44" s="115">
        <v>66219</v>
      </c>
      <c r="Z44" s="115">
        <v>58693</v>
      </c>
      <c r="AA44" s="115">
        <v>29391</v>
      </c>
      <c r="AB44" s="115">
        <v>0</v>
      </c>
      <c r="AC44" s="115">
        <v>0</v>
      </c>
      <c r="AD44" s="58"/>
      <c r="AE44" s="58"/>
      <c r="AF44" s="58"/>
      <c r="AG44" s="58"/>
      <c r="AH44" s="47"/>
      <c r="AI44" s="53">
        <f>SUM(S44:AH44)</f>
        <v>383545</v>
      </c>
      <c r="AJ44" s="51"/>
      <c r="AK44" s="218">
        <f t="shared" si="3"/>
        <v>0</v>
      </c>
    </row>
    <row r="45" spans="1:39" s="36" customFormat="1" ht="15.75" x14ac:dyDescent="0.25">
      <c r="A45" s="104" t="s">
        <v>134</v>
      </c>
      <c r="B45" s="65" t="s">
        <v>135</v>
      </c>
      <c r="C45" s="52" t="s">
        <v>562</v>
      </c>
      <c r="D45" s="52" t="s">
        <v>566</v>
      </c>
      <c r="E45" s="65" t="s">
        <v>136</v>
      </c>
      <c r="F45" s="52" t="s">
        <v>46</v>
      </c>
      <c r="G45" s="52"/>
      <c r="H45" s="330">
        <v>44174</v>
      </c>
      <c r="I45" s="330">
        <v>44223</v>
      </c>
      <c r="J45" s="333">
        <f>I45-H45</f>
        <v>49</v>
      </c>
      <c r="K45" s="52" t="s">
        <v>370</v>
      </c>
      <c r="L45" s="330">
        <v>44382</v>
      </c>
      <c r="M45" s="347">
        <v>44540</v>
      </c>
      <c r="N45" s="52"/>
      <c r="O45" s="50">
        <f>((M45-L45)/7)/4.3</f>
        <v>5.249169435215947</v>
      </c>
      <c r="P45" s="50"/>
      <c r="Q45" s="50"/>
      <c r="R45" s="245">
        <v>1006579</v>
      </c>
      <c r="S45" s="115">
        <v>131243</v>
      </c>
      <c r="T45" s="115">
        <v>0</v>
      </c>
      <c r="U45" s="115">
        <v>0</v>
      </c>
      <c r="V45" s="115">
        <v>0</v>
      </c>
      <c r="W45" s="115"/>
      <c r="X45" s="115">
        <f>36571+46439</f>
        <v>83010</v>
      </c>
      <c r="Y45" s="115">
        <v>67371</v>
      </c>
      <c r="Z45" s="115">
        <v>0</v>
      </c>
      <c r="AA45" s="115">
        <v>103268</v>
      </c>
      <c r="AB45" s="115">
        <v>113601.11</v>
      </c>
      <c r="AC45" s="115">
        <v>227523.97</v>
      </c>
      <c r="AD45" s="275">
        <v>171687</v>
      </c>
      <c r="AE45" s="58"/>
      <c r="AF45" s="53">
        <v>111398.89000000001</v>
      </c>
      <c r="AG45" s="53"/>
      <c r="AH45" s="47"/>
      <c r="AI45" s="53">
        <f>SUM(S45:AH45)</f>
        <v>1009102.97</v>
      </c>
      <c r="AJ45" s="51"/>
      <c r="AK45" s="218">
        <f t="shared" si="3"/>
        <v>2520</v>
      </c>
      <c r="AL45" s="36" t="s">
        <v>574</v>
      </c>
      <c r="AM45" s="55"/>
    </row>
    <row r="46" spans="1:39" s="36" customFormat="1" ht="15.75" x14ac:dyDescent="0.25">
      <c r="A46" s="34" t="s">
        <v>226</v>
      </c>
      <c r="B46" s="35" t="s">
        <v>442</v>
      </c>
      <c r="C46" s="52" t="s">
        <v>562</v>
      </c>
      <c r="D46" s="52" t="s">
        <v>565</v>
      </c>
      <c r="E46" s="35" t="s">
        <v>656</v>
      </c>
      <c r="F46" s="52" t="s">
        <v>46</v>
      </c>
      <c r="G46" s="52"/>
      <c r="H46" s="330">
        <v>44295</v>
      </c>
      <c r="I46" s="330">
        <v>44357</v>
      </c>
      <c r="J46" s="333">
        <f>I46-H46</f>
        <v>62</v>
      </c>
      <c r="K46" s="52" t="s">
        <v>370</v>
      </c>
      <c r="L46" s="330">
        <v>44387</v>
      </c>
      <c r="M46" s="347">
        <v>44540</v>
      </c>
      <c r="N46" s="52"/>
      <c r="O46" s="50">
        <f>((M46-L46)/7)/4.3</f>
        <v>5.0830564784053163</v>
      </c>
      <c r="P46" s="50"/>
      <c r="Q46" s="50"/>
      <c r="R46" s="182">
        <v>2259828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105517</v>
      </c>
      <c r="Y46" s="115">
        <v>201248</v>
      </c>
      <c r="Z46" s="115">
        <v>0</v>
      </c>
      <c r="AA46" s="115">
        <v>748228</v>
      </c>
      <c r="AB46" s="115">
        <v>181824.92</v>
      </c>
      <c r="AC46" s="115">
        <v>308182.90999999997</v>
      </c>
      <c r="AD46" s="275">
        <v>300000</v>
      </c>
      <c r="AE46" s="275">
        <v>104835</v>
      </c>
      <c r="AF46" s="58">
        <v>218175.08000000007</v>
      </c>
      <c r="AG46" s="53"/>
      <c r="AH46" s="47"/>
      <c r="AI46" s="53">
        <f>SUM(S46:AH46)</f>
        <v>2168010.91</v>
      </c>
      <c r="AJ46" s="51"/>
      <c r="AK46" s="218">
        <f t="shared" si="3"/>
        <v>-91820</v>
      </c>
      <c r="AM46" s="55"/>
    </row>
    <row r="47" spans="1:39" s="36" customFormat="1" ht="15.75" x14ac:dyDescent="0.25">
      <c r="A47" s="93"/>
      <c r="B47" s="94"/>
      <c r="C47" s="91"/>
      <c r="D47" s="91"/>
      <c r="E47" s="94"/>
      <c r="F47" s="91"/>
      <c r="G47" s="91"/>
      <c r="H47" s="91"/>
      <c r="I47" s="91"/>
      <c r="J47" s="92"/>
      <c r="K47" s="91"/>
      <c r="L47" s="91"/>
      <c r="M47" s="91"/>
      <c r="N47" s="91"/>
      <c r="O47" s="92"/>
      <c r="P47" s="92"/>
      <c r="Q47" s="92"/>
      <c r="R47" s="59">
        <f t="shared" ref="R47:AG47" si="11">SUM(R44:R46)</f>
        <v>3649952</v>
      </c>
      <c r="S47" s="59">
        <f t="shared" si="11"/>
        <v>131243</v>
      </c>
      <c r="T47" s="59">
        <f t="shared" si="11"/>
        <v>0</v>
      </c>
      <c r="U47" s="59">
        <f t="shared" si="11"/>
        <v>0</v>
      </c>
      <c r="V47" s="59">
        <f t="shared" si="11"/>
        <v>0</v>
      </c>
      <c r="W47" s="59">
        <f t="shared" si="11"/>
        <v>118932</v>
      </c>
      <c r="X47" s="59">
        <f t="shared" si="11"/>
        <v>298837</v>
      </c>
      <c r="Y47" s="59">
        <f t="shared" si="11"/>
        <v>334838</v>
      </c>
      <c r="Z47" s="59">
        <f t="shared" si="11"/>
        <v>58693</v>
      </c>
      <c r="AA47" s="59">
        <f t="shared" si="11"/>
        <v>880887</v>
      </c>
      <c r="AB47" s="59">
        <f t="shared" si="11"/>
        <v>295426.03000000003</v>
      </c>
      <c r="AC47" s="59">
        <f t="shared" si="11"/>
        <v>535706.88</v>
      </c>
      <c r="AD47" s="59">
        <f t="shared" si="11"/>
        <v>471687</v>
      </c>
      <c r="AE47" s="59">
        <f t="shared" si="11"/>
        <v>104835</v>
      </c>
      <c r="AF47" s="59">
        <f t="shared" si="11"/>
        <v>329573.97000000009</v>
      </c>
      <c r="AG47" s="59">
        <f t="shared" si="11"/>
        <v>0</v>
      </c>
      <c r="AH47" s="47"/>
      <c r="AI47" s="53">
        <f>SUM(S47:AH47)</f>
        <v>3560658.8800000004</v>
      </c>
      <c r="AJ47" s="51"/>
      <c r="AK47" s="218">
        <f t="shared" si="3"/>
        <v>-89290</v>
      </c>
      <c r="AM47" s="55"/>
    </row>
    <row r="48" spans="1:39" s="36" customFormat="1" ht="15.75" x14ac:dyDescent="0.25">
      <c r="A48" s="106" t="s">
        <v>514</v>
      </c>
      <c r="B48" s="107"/>
      <c r="C48" s="101" t="s">
        <v>568</v>
      </c>
      <c r="D48" s="102"/>
      <c r="E48" s="107"/>
      <c r="F48" s="102"/>
      <c r="G48" s="102"/>
      <c r="H48" s="276"/>
      <c r="I48" s="276"/>
      <c r="J48" s="84"/>
      <c r="K48" s="102"/>
      <c r="L48" s="102"/>
      <c r="M48" s="102"/>
      <c r="N48" s="102"/>
      <c r="O48" s="84"/>
      <c r="P48" s="84"/>
      <c r="Q48" s="84"/>
      <c r="R48" s="193"/>
      <c r="S48" s="85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47"/>
      <c r="AI48" s="85"/>
      <c r="AJ48" s="51"/>
      <c r="AK48" s="218">
        <f t="shared" si="3"/>
        <v>0</v>
      </c>
      <c r="AM48" s="55"/>
    </row>
    <row r="49" spans="1:39" s="36" customFormat="1" ht="15.75" x14ac:dyDescent="0.25">
      <c r="A49" s="312" t="s">
        <v>180</v>
      </c>
      <c r="B49" s="312" t="s">
        <v>182</v>
      </c>
      <c r="C49" s="310" t="s">
        <v>568</v>
      </c>
      <c r="D49" s="310" t="s">
        <v>401</v>
      </c>
      <c r="E49" s="312" t="s">
        <v>697</v>
      </c>
      <c r="F49" s="310" t="s">
        <v>46</v>
      </c>
      <c r="G49" s="310"/>
      <c r="H49" s="318">
        <v>44307</v>
      </c>
      <c r="I49" s="318">
        <v>44417</v>
      </c>
      <c r="J49" s="331">
        <f>I49-H49</f>
        <v>110</v>
      </c>
      <c r="K49" s="310" t="s">
        <v>370</v>
      </c>
      <c r="L49" s="302" t="s">
        <v>24</v>
      </c>
      <c r="M49" s="310" t="s">
        <v>24</v>
      </c>
      <c r="N49" s="310"/>
      <c r="O49" s="311" t="s">
        <v>24</v>
      </c>
      <c r="P49" s="311"/>
      <c r="Q49" s="311"/>
      <c r="R49" s="351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/>
      <c r="AC49" s="115">
        <v>0</v>
      </c>
      <c r="AD49" s="53"/>
      <c r="AE49" s="53"/>
      <c r="AF49" s="53"/>
      <c r="AG49" s="53"/>
      <c r="AH49" s="47"/>
      <c r="AI49" s="53">
        <f>SUM(S49:AH49)</f>
        <v>0</v>
      </c>
      <c r="AJ49" s="51"/>
      <c r="AK49" s="218">
        <f t="shared" si="3"/>
        <v>0</v>
      </c>
    </row>
    <row r="50" spans="1:39" s="36" customFormat="1" ht="15.75" x14ac:dyDescent="0.25">
      <c r="A50" s="34" t="s">
        <v>185</v>
      </c>
      <c r="B50" s="35" t="s">
        <v>622</v>
      </c>
      <c r="C50" s="52" t="s">
        <v>568</v>
      </c>
      <c r="D50" s="87" t="s">
        <v>401</v>
      </c>
      <c r="E50" s="113" t="s">
        <v>696</v>
      </c>
      <c r="F50" s="52" t="s">
        <v>46</v>
      </c>
      <c r="G50" s="52"/>
      <c r="H50" s="330">
        <v>44328</v>
      </c>
      <c r="I50" s="330">
        <v>44418</v>
      </c>
      <c r="J50" s="333">
        <f>I50-H50</f>
        <v>90</v>
      </c>
      <c r="K50" s="52" t="s">
        <v>370</v>
      </c>
      <c r="L50" s="330">
        <v>44372</v>
      </c>
      <c r="M50" s="87">
        <v>44733</v>
      </c>
      <c r="N50" s="52"/>
      <c r="O50" s="50">
        <f>((M50-L50)/7)/4.3</f>
        <v>11.993355481727574</v>
      </c>
      <c r="P50" s="50"/>
      <c r="Q50" s="50"/>
      <c r="R50" s="182">
        <v>1961016</v>
      </c>
      <c r="S50" s="115">
        <v>0</v>
      </c>
      <c r="T50" s="115">
        <v>0</v>
      </c>
      <c r="U50" s="115"/>
      <c r="V50" s="115"/>
      <c r="W50" s="115">
        <f>233134</f>
        <v>233134</v>
      </c>
      <c r="X50" s="115">
        <v>0</v>
      </c>
      <c r="Y50" s="115">
        <v>0</v>
      </c>
      <c r="Z50" s="115">
        <v>72994</v>
      </c>
      <c r="AA50" s="115">
        <v>144486</v>
      </c>
      <c r="AB50" s="115">
        <v>174326.34</v>
      </c>
      <c r="AC50" s="115">
        <v>157369.33000000002</v>
      </c>
      <c r="AD50" s="275">
        <v>165000</v>
      </c>
      <c r="AE50" s="275">
        <v>175000</v>
      </c>
      <c r="AF50" s="275">
        <v>806075.66000000015</v>
      </c>
      <c r="AG50" s="53"/>
      <c r="AH50" s="47"/>
      <c r="AI50" s="53">
        <f>SUM(S50:AH50)</f>
        <v>1928385.33</v>
      </c>
      <c r="AJ50" s="51"/>
      <c r="AK50" s="218">
        <f t="shared" si="3"/>
        <v>-32630</v>
      </c>
      <c r="AM50" s="55"/>
    </row>
    <row r="51" spans="1:39" s="36" customFormat="1" ht="15.75" x14ac:dyDescent="0.25">
      <c r="A51" s="113" t="s">
        <v>203</v>
      </c>
      <c r="B51" s="35" t="s">
        <v>204</v>
      </c>
      <c r="C51" s="52" t="s">
        <v>568</v>
      </c>
      <c r="D51" s="52" t="s">
        <v>630</v>
      </c>
      <c r="E51" s="35" t="s">
        <v>684</v>
      </c>
      <c r="F51" s="52" t="s">
        <v>46</v>
      </c>
      <c r="G51" s="52"/>
      <c r="H51" s="330">
        <v>44369</v>
      </c>
      <c r="I51" s="329">
        <v>44461</v>
      </c>
      <c r="J51" s="333">
        <f>I51-H51</f>
        <v>92</v>
      </c>
      <c r="K51" s="52" t="s">
        <v>370</v>
      </c>
      <c r="L51" s="329">
        <v>44399</v>
      </c>
      <c r="M51" s="52">
        <v>44803</v>
      </c>
      <c r="N51" s="52"/>
      <c r="O51" s="50">
        <f>((M51-L51)/7)/4.3</f>
        <v>13.421926910299003</v>
      </c>
      <c r="P51" s="50"/>
      <c r="Q51" s="50"/>
      <c r="R51" s="53">
        <v>10000000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941343</v>
      </c>
      <c r="AB51" s="115">
        <v>403549.63</v>
      </c>
      <c r="AC51" s="115">
        <v>37623.360000000001</v>
      </c>
      <c r="AD51" s="275">
        <v>522000</v>
      </c>
      <c r="AE51" s="275">
        <v>772000</v>
      </c>
      <c r="AF51" s="275">
        <v>6839107.370000001</v>
      </c>
      <c r="AG51" s="53"/>
      <c r="AH51" s="47"/>
      <c r="AI51" s="53">
        <f>SUM(S51:AH51)</f>
        <v>9515623.3600000013</v>
      </c>
      <c r="AJ51" s="51"/>
      <c r="AK51" s="218">
        <f t="shared" si="3"/>
        <v>-484380</v>
      </c>
      <c r="AM51" s="55"/>
    </row>
    <row r="52" spans="1:39" s="36" customFormat="1" ht="15.75" x14ac:dyDescent="0.25">
      <c r="A52" s="93"/>
      <c r="B52" s="94"/>
      <c r="C52" s="91"/>
      <c r="D52" s="91"/>
      <c r="E52" s="94"/>
      <c r="F52" s="91"/>
      <c r="G52" s="91"/>
      <c r="H52" s="91"/>
      <c r="I52" s="91"/>
      <c r="J52" s="92"/>
      <c r="K52" s="91"/>
      <c r="L52" s="91"/>
      <c r="M52" s="91"/>
      <c r="N52" s="91"/>
      <c r="O52" s="92"/>
      <c r="P52" s="92"/>
      <c r="Q52" s="92"/>
      <c r="R52" s="59">
        <f t="shared" ref="R52:AG52" si="12">SUM(R49:R51)</f>
        <v>11961016</v>
      </c>
      <c r="S52" s="59">
        <f t="shared" si="12"/>
        <v>0</v>
      </c>
      <c r="T52" s="59">
        <f t="shared" si="12"/>
        <v>0</v>
      </c>
      <c r="U52" s="59">
        <f t="shared" si="12"/>
        <v>0</v>
      </c>
      <c r="V52" s="59">
        <f t="shared" si="12"/>
        <v>0</v>
      </c>
      <c r="W52" s="59">
        <f t="shared" si="12"/>
        <v>233134</v>
      </c>
      <c r="X52" s="59">
        <f t="shared" si="12"/>
        <v>0</v>
      </c>
      <c r="Y52" s="59">
        <f t="shared" si="12"/>
        <v>0</v>
      </c>
      <c r="Z52" s="59">
        <f t="shared" si="12"/>
        <v>72994</v>
      </c>
      <c r="AA52" s="59">
        <f t="shared" si="12"/>
        <v>1085829</v>
      </c>
      <c r="AB52" s="59">
        <f t="shared" si="12"/>
        <v>577875.97</v>
      </c>
      <c r="AC52" s="59">
        <f t="shared" si="12"/>
        <v>194992.69</v>
      </c>
      <c r="AD52" s="59">
        <f t="shared" si="12"/>
        <v>687000</v>
      </c>
      <c r="AE52" s="59">
        <f t="shared" si="12"/>
        <v>947000</v>
      </c>
      <c r="AF52" s="59">
        <f t="shared" si="12"/>
        <v>7645183.0300000012</v>
      </c>
      <c r="AG52" s="59">
        <f t="shared" si="12"/>
        <v>0</v>
      </c>
      <c r="AH52" s="47"/>
      <c r="AI52" s="53">
        <f>SUM(S52:AH52)</f>
        <v>11444008.690000001</v>
      </c>
      <c r="AJ52" s="51"/>
      <c r="AK52" s="218">
        <f t="shared" si="3"/>
        <v>-517010</v>
      </c>
      <c r="AM52" s="55"/>
    </row>
    <row r="53" spans="1:39" s="36" customFormat="1" ht="15.75" x14ac:dyDescent="0.25">
      <c r="A53" s="106" t="s">
        <v>234</v>
      </c>
      <c r="B53" s="107"/>
      <c r="C53" s="101" t="s">
        <v>570</v>
      </c>
      <c r="D53" s="102"/>
      <c r="E53" s="107"/>
      <c r="F53" s="102"/>
      <c r="G53" s="102"/>
      <c r="H53" s="276"/>
      <c r="I53" s="276"/>
      <c r="J53" s="84"/>
      <c r="K53" s="102"/>
      <c r="L53" s="102"/>
      <c r="M53" s="102"/>
      <c r="N53" s="102"/>
      <c r="O53" s="84"/>
      <c r="P53" s="84"/>
      <c r="Q53" s="84"/>
      <c r="R53" s="193"/>
      <c r="S53" s="85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47"/>
      <c r="AI53" s="85"/>
      <c r="AJ53" s="51"/>
      <c r="AK53" s="218">
        <f t="shared" si="3"/>
        <v>0</v>
      </c>
    </row>
    <row r="54" spans="1:39" s="36" customFormat="1" ht="15.75" x14ac:dyDescent="0.25">
      <c r="A54" s="319" t="s">
        <v>238</v>
      </c>
      <c r="B54" s="320" t="s">
        <v>239</v>
      </c>
      <c r="C54" s="321" t="s">
        <v>570</v>
      </c>
      <c r="D54" s="321"/>
      <c r="E54" s="320" t="s">
        <v>632</v>
      </c>
      <c r="F54" s="321" t="s">
        <v>237</v>
      </c>
      <c r="G54" s="321"/>
      <c r="H54" s="321"/>
      <c r="I54" s="321"/>
      <c r="J54" s="322">
        <f>I54-H54</f>
        <v>0</v>
      </c>
      <c r="K54" s="321" t="s">
        <v>370</v>
      </c>
      <c r="L54" s="332">
        <v>43836</v>
      </c>
      <c r="M54" s="332">
        <v>44090</v>
      </c>
      <c r="N54" s="332"/>
      <c r="O54" s="322">
        <f>((M54-L54)/7)/4.3</f>
        <v>8.4385382059800662</v>
      </c>
      <c r="P54" s="322" t="s">
        <v>237</v>
      </c>
      <c r="Q54" s="322"/>
      <c r="R54" s="323">
        <f>1219262-1559</f>
        <v>1217703</v>
      </c>
      <c r="S54" s="115">
        <v>1206322</v>
      </c>
      <c r="T54" s="115">
        <v>11381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/>
      <c r="AC54" s="115">
        <v>0</v>
      </c>
      <c r="AD54" s="58"/>
      <c r="AE54" s="58"/>
      <c r="AF54" s="58"/>
      <c r="AG54" s="58"/>
      <c r="AH54" s="47"/>
      <c r="AI54" s="53">
        <f>SUM(S54:AH54)</f>
        <v>1217703</v>
      </c>
      <c r="AJ54" s="51"/>
      <c r="AK54" s="218">
        <f t="shared" si="3"/>
        <v>0</v>
      </c>
    </row>
    <row r="55" spans="1:39" s="36" customFormat="1" ht="15.75" x14ac:dyDescent="0.25">
      <c r="A55" s="319" t="s">
        <v>273</v>
      </c>
      <c r="B55" s="320" t="s">
        <v>274</v>
      </c>
      <c r="C55" s="321" t="s">
        <v>570</v>
      </c>
      <c r="D55" s="321"/>
      <c r="E55" s="320" t="s">
        <v>275</v>
      </c>
      <c r="F55" s="321" t="s">
        <v>237</v>
      </c>
      <c r="G55" s="321"/>
      <c r="H55" s="321"/>
      <c r="I55" s="321"/>
      <c r="J55" s="322">
        <f>I55-H55</f>
        <v>0</v>
      </c>
      <c r="K55" s="321" t="s">
        <v>370</v>
      </c>
      <c r="L55" s="332">
        <v>43889</v>
      </c>
      <c r="M55" s="332">
        <v>44187</v>
      </c>
      <c r="N55" s="332"/>
      <c r="O55" s="322">
        <f>((M55-L55)/7)/4.3</f>
        <v>9.9003322259136208</v>
      </c>
      <c r="P55" s="322" t="s">
        <v>237</v>
      </c>
      <c r="Q55" s="322"/>
      <c r="R55" s="323">
        <f>577676+1200</f>
        <v>578876</v>
      </c>
      <c r="S55" s="115">
        <v>568341</v>
      </c>
      <c r="T55" s="115">
        <v>2335</v>
      </c>
      <c r="U55" s="115">
        <v>0</v>
      </c>
      <c r="V55" s="115">
        <v>0</v>
      </c>
      <c r="W55" s="115">
        <v>0</v>
      </c>
      <c r="X55" s="115">
        <v>8200</v>
      </c>
      <c r="Y55" s="115">
        <v>0</v>
      </c>
      <c r="Z55" s="115">
        <v>0</v>
      </c>
      <c r="AA55" s="115">
        <v>0</v>
      </c>
      <c r="AB55" s="115"/>
      <c r="AC55" s="115">
        <v>0</v>
      </c>
      <c r="AD55" s="58"/>
      <c r="AE55" s="58"/>
      <c r="AF55" s="58"/>
      <c r="AG55" s="58"/>
      <c r="AH55" s="47"/>
      <c r="AI55" s="53">
        <f>SUM(S55:AH55)</f>
        <v>578876</v>
      </c>
      <c r="AJ55" s="51"/>
      <c r="AK55" s="218">
        <f t="shared" si="3"/>
        <v>0</v>
      </c>
    </row>
    <row r="56" spans="1:39" s="36" customFormat="1" ht="15.75" x14ac:dyDescent="0.25">
      <c r="A56" s="93"/>
      <c r="B56" s="94"/>
      <c r="C56" s="91"/>
      <c r="D56" s="91"/>
      <c r="E56" s="94"/>
      <c r="F56" s="91"/>
      <c r="G56" s="91"/>
      <c r="H56" s="91"/>
      <c r="I56" s="91"/>
      <c r="J56" s="92"/>
      <c r="K56" s="91"/>
      <c r="L56" s="91"/>
      <c r="M56" s="91"/>
      <c r="N56" s="91"/>
      <c r="O56" s="92"/>
      <c r="P56" s="92"/>
      <c r="Q56" s="92"/>
      <c r="R56" s="59">
        <f t="shared" ref="R56:AG56" si="13">SUM(R54:R55)</f>
        <v>1796579</v>
      </c>
      <c r="S56" s="59">
        <f t="shared" si="13"/>
        <v>1774663</v>
      </c>
      <c r="T56" s="59">
        <f t="shared" si="13"/>
        <v>13716</v>
      </c>
      <c r="U56" s="59">
        <f t="shared" si="13"/>
        <v>0</v>
      </c>
      <c r="V56" s="59">
        <f t="shared" si="13"/>
        <v>0</v>
      </c>
      <c r="W56" s="59">
        <f t="shared" si="13"/>
        <v>0</v>
      </c>
      <c r="X56" s="59">
        <f t="shared" si="13"/>
        <v>8200</v>
      </c>
      <c r="Y56" s="59">
        <f t="shared" si="13"/>
        <v>0</v>
      </c>
      <c r="Z56" s="59">
        <f t="shared" si="13"/>
        <v>0</v>
      </c>
      <c r="AA56" s="59">
        <f t="shared" si="13"/>
        <v>0</v>
      </c>
      <c r="AB56" s="59">
        <f t="shared" si="13"/>
        <v>0</v>
      </c>
      <c r="AC56" s="59">
        <f t="shared" si="13"/>
        <v>0</v>
      </c>
      <c r="AD56" s="59">
        <f t="shared" si="13"/>
        <v>0</v>
      </c>
      <c r="AE56" s="59">
        <f t="shared" si="13"/>
        <v>0</v>
      </c>
      <c r="AF56" s="59">
        <f t="shared" si="13"/>
        <v>0</v>
      </c>
      <c r="AG56" s="59">
        <f t="shared" si="13"/>
        <v>0</v>
      </c>
      <c r="AH56" s="47"/>
      <c r="AI56" s="53">
        <f>SUM(S56:AH56)</f>
        <v>1796579</v>
      </c>
      <c r="AJ56" s="51"/>
      <c r="AK56" s="218">
        <f t="shared" si="3"/>
        <v>0</v>
      </c>
    </row>
    <row r="57" spans="1:39" s="36" customFormat="1" ht="15.75" x14ac:dyDescent="0.25">
      <c r="A57" s="106" t="s">
        <v>52</v>
      </c>
      <c r="B57" s="107"/>
      <c r="C57" s="101" t="s">
        <v>373</v>
      </c>
      <c r="D57" s="102"/>
      <c r="E57" s="107"/>
      <c r="F57" s="102"/>
      <c r="G57" s="102"/>
      <c r="H57" s="276"/>
      <c r="I57" s="276"/>
      <c r="J57" s="84"/>
      <c r="K57" s="102"/>
      <c r="L57" s="102"/>
      <c r="M57" s="102"/>
      <c r="N57" s="102"/>
      <c r="O57" s="84"/>
      <c r="P57" s="84"/>
      <c r="Q57" s="84"/>
      <c r="R57" s="193"/>
      <c r="S57" s="85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47"/>
      <c r="AI57" s="85"/>
      <c r="AJ57" s="51"/>
      <c r="AK57" s="218">
        <f t="shared" si="3"/>
        <v>0</v>
      </c>
    </row>
    <row r="58" spans="1:39" s="36" customFormat="1" ht="15.75" x14ac:dyDescent="0.25">
      <c r="A58" s="316" t="s">
        <v>49</v>
      </c>
      <c r="B58" s="317" t="s">
        <v>374</v>
      </c>
      <c r="C58" s="310" t="s">
        <v>373</v>
      </c>
      <c r="D58" s="310" t="s">
        <v>630</v>
      </c>
      <c r="E58" s="317" t="s">
        <v>51</v>
      </c>
      <c r="F58" s="310" t="s">
        <v>237</v>
      </c>
      <c r="G58" s="310"/>
      <c r="H58" s="318">
        <v>43965</v>
      </c>
      <c r="I58" s="318">
        <v>44020</v>
      </c>
      <c r="J58" s="331">
        <f>I58-H58</f>
        <v>55</v>
      </c>
      <c r="K58" s="310" t="s">
        <v>370</v>
      </c>
      <c r="L58" s="318">
        <v>44033</v>
      </c>
      <c r="M58" s="318">
        <v>44371</v>
      </c>
      <c r="N58" s="318"/>
      <c r="O58" s="311">
        <f>((M58-L58)/7)/4.3</f>
        <v>11.22923588039867</v>
      </c>
      <c r="P58" s="311"/>
      <c r="Q58" s="311"/>
      <c r="R58" s="306">
        <v>9534114</v>
      </c>
      <c r="S58" s="115">
        <v>4251267</v>
      </c>
      <c r="T58" s="115">
        <v>974630</v>
      </c>
      <c r="U58" s="115">
        <v>965506</v>
      </c>
      <c r="V58" s="115">
        <v>726926</v>
      </c>
      <c r="W58" s="115">
        <v>1007479</v>
      </c>
      <c r="X58" s="115">
        <v>748387</v>
      </c>
      <c r="Y58" s="115">
        <v>599421</v>
      </c>
      <c r="Z58" s="115">
        <v>93601</v>
      </c>
      <c r="AA58" s="115">
        <v>88474</v>
      </c>
      <c r="AB58" s="115">
        <v>65327.47</v>
      </c>
      <c r="AC58" s="115">
        <v>13094.4</v>
      </c>
      <c r="AD58" s="53"/>
      <c r="AE58" s="53"/>
      <c r="AF58" s="53">
        <v>-23801.470000000671</v>
      </c>
      <c r="AG58" s="53"/>
      <c r="AH58" s="47"/>
      <c r="AI58" s="53">
        <f t="shared" ref="AI58:AI63" si="14">SUM(S58:AH58)</f>
        <v>9510311.4000000004</v>
      </c>
      <c r="AJ58" s="51"/>
      <c r="AK58" s="218">
        <f t="shared" si="3"/>
        <v>-23800</v>
      </c>
      <c r="AL58" s="36" t="s">
        <v>657</v>
      </c>
      <c r="AM58" s="55"/>
    </row>
    <row r="59" spans="1:39" s="36" customFormat="1" ht="15.75" x14ac:dyDescent="0.25">
      <c r="A59" s="312" t="s">
        <v>55</v>
      </c>
      <c r="B59" s="313" t="s">
        <v>376</v>
      </c>
      <c r="C59" s="310" t="s">
        <v>373</v>
      </c>
      <c r="D59" s="310" t="s">
        <v>401</v>
      </c>
      <c r="E59" s="313" t="s">
        <v>57</v>
      </c>
      <c r="F59" s="310" t="s">
        <v>237</v>
      </c>
      <c r="G59" s="310"/>
      <c r="H59" s="318">
        <v>43998</v>
      </c>
      <c r="I59" s="318">
        <v>44005</v>
      </c>
      <c r="J59" s="331">
        <f>I59-H59</f>
        <v>7</v>
      </c>
      <c r="K59" s="310" t="s">
        <v>370</v>
      </c>
      <c r="L59" s="318">
        <v>44124</v>
      </c>
      <c r="M59" s="318">
        <v>44392</v>
      </c>
      <c r="N59" s="318"/>
      <c r="O59" s="311">
        <f>((M59-L59)/7)/4.3</f>
        <v>8.9036544850498345</v>
      </c>
      <c r="P59" s="311"/>
      <c r="Q59" s="311"/>
      <c r="R59" s="306">
        <v>1258636</v>
      </c>
      <c r="S59" s="115">
        <v>501155</v>
      </c>
      <c r="T59" s="115">
        <v>186495</v>
      </c>
      <c r="U59" s="115">
        <v>202246</v>
      </c>
      <c r="V59" s="115">
        <v>66602</v>
      </c>
      <c r="W59" s="115">
        <v>48430</v>
      </c>
      <c r="X59" s="115">
        <v>7649</v>
      </c>
      <c r="Y59" s="115">
        <v>118643</v>
      </c>
      <c r="Z59" s="115">
        <v>54525</v>
      </c>
      <c r="AA59" s="115">
        <v>32612</v>
      </c>
      <c r="AB59" s="115">
        <v>0</v>
      </c>
      <c r="AC59" s="115">
        <v>0</v>
      </c>
      <c r="AD59" s="53"/>
      <c r="AE59" s="53"/>
      <c r="AF59" s="53">
        <v>40279</v>
      </c>
      <c r="AG59" s="53"/>
      <c r="AH59" s="47"/>
      <c r="AI59" s="53">
        <f t="shared" si="14"/>
        <v>1258636</v>
      </c>
      <c r="AJ59" s="51"/>
      <c r="AK59" s="218">
        <f t="shared" si="3"/>
        <v>0</v>
      </c>
      <c r="AL59" s="36" t="s">
        <v>658</v>
      </c>
      <c r="AM59" s="55"/>
    </row>
    <row r="60" spans="1:39" s="36" customFormat="1" ht="15.75" x14ac:dyDescent="0.25">
      <c r="A60" s="113" t="s">
        <v>594</v>
      </c>
      <c r="B60" s="114" t="s">
        <v>595</v>
      </c>
      <c r="C60" s="52" t="s">
        <v>373</v>
      </c>
      <c r="D60" s="52" t="s">
        <v>45</v>
      </c>
      <c r="E60" s="35"/>
      <c r="F60" s="52" t="s">
        <v>623</v>
      </c>
      <c r="G60" s="52"/>
      <c r="H60" s="330" t="s">
        <v>24</v>
      </c>
      <c r="I60" s="330" t="s">
        <v>24</v>
      </c>
      <c r="J60" s="333" t="s">
        <v>24</v>
      </c>
      <c r="K60" s="52" t="s">
        <v>320</v>
      </c>
      <c r="L60" s="52"/>
      <c r="M60" s="52"/>
      <c r="N60" s="52"/>
      <c r="O60" s="50">
        <f>((M60-L60)/7)/4.3</f>
        <v>0</v>
      </c>
      <c r="P60" s="50"/>
      <c r="Q60" s="50"/>
      <c r="R60" s="53">
        <v>82107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0</v>
      </c>
      <c r="AD60" s="275">
        <v>27107</v>
      </c>
      <c r="AE60" s="53"/>
      <c r="AF60" s="53">
        <v>25000</v>
      </c>
      <c r="AG60" s="53"/>
      <c r="AH60" s="47"/>
      <c r="AI60" s="53">
        <f t="shared" si="14"/>
        <v>52107</v>
      </c>
      <c r="AJ60" s="51"/>
      <c r="AK60" s="218">
        <f t="shared" si="3"/>
        <v>-30000</v>
      </c>
      <c r="AM60" s="55"/>
    </row>
    <row r="61" spans="1:39" s="36" customFormat="1" ht="15.75" x14ac:dyDescent="0.25">
      <c r="A61" s="104" t="s">
        <v>129</v>
      </c>
      <c r="B61" s="105" t="s">
        <v>130</v>
      </c>
      <c r="C61" s="52" t="s">
        <v>373</v>
      </c>
      <c r="D61" s="52" t="s">
        <v>633</v>
      </c>
      <c r="E61" s="65" t="s">
        <v>131</v>
      </c>
      <c r="F61" s="52" t="s">
        <v>46</v>
      </c>
      <c r="G61" s="52"/>
      <c r="H61" s="330">
        <v>43962</v>
      </c>
      <c r="I61" s="330">
        <v>44018</v>
      </c>
      <c r="J61" s="333">
        <f>I61-H61</f>
        <v>56</v>
      </c>
      <c r="K61" s="52" t="s">
        <v>370</v>
      </c>
      <c r="L61" s="330">
        <v>44136</v>
      </c>
      <c r="M61" s="347">
        <v>44531</v>
      </c>
      <c r="N61" s="52"/>
      <c r="O61" s="50">
        <f>((M61-L61)/7)/4.3</f>
        <v>13.122923588039868</v>
      </c>
      <c r="P61" s="50"/>
      <c r="Q61" s="50"/>
      <c r="R61" s="182">
        <v>1809504</v>
      </c>
      <c r="S61" s="115">
        <v>407476</v>
      </c>
      <c r="T61" s="115">
        <v>214131</v>
      </c>
      <c r="U61" s="115">
        <v>74131</v>
      </c>
      <c r="V61" s="115">
        <v>135778</v>
      </c>
      <c r="W61" s="115">
        <v>437832</v>
      </c>
      <c r="X61" s="115">
        <v>31174</v>
      </c>
      <c r="Y61" s="115">
        <v>82243</v>
      </c>
      <c r="Z61" s="115">
        <v>45087</v>
      </c>
      <c r="AA61" s="115">
        <v>149925</v>
      </c>
      <c r="AB61" s="115">
        <v>55587.040000000001</v>
      </c>
      <c r="AC61" s="115">
        <v>113628.69</v>
      </c>
      <c r="AD61" s="275">
        <v>31727</v>
      </c>
      <c r="AE61" s="53"/>
      <c r="AF61" s="53">
        <v>44412.959999999963</v>
      </c>
      <c r="AG61" s="53"/>
      <c r="AH61" s="47"/>
      <c r="AI61" s="53">
        <f t="shared" si="14"/>
        <v>1823132.69</v>
      </c>
      <c r="AJ61" s="51"/>
      <c r="AK61" s="218">
        <f t="shared" si="3"/>
        <v>13630</v>
      </c>
      <c r="AM61" s="55"/>
    </row>
    <row r="62" spans="1:39" s="36" customFormat="1" ht="15.75" x14ac:dyDescent="0.25">
      <c r="A62" s="104" t="s">
        <v>139</v>
      </c>
      <c r="B62" s="105" t="s">
        <v>140</v>
      </c>
      <c r="C62" s="52" t="s">
        <v>373</v>
      </c>
      <c r="D62" s="87" t="s">
        <v>564</v>
      </c>
      <c r="E62" s="65" t="s">
        <v>141</v>
      </c>
      <c r="F62" s="87" t="s">
        <v>46</v>
      </c>
      <c r="G62" s="87"/>
      <c r="H62" s="329">
        <v>44104</v>
      </c>
      <c r="I62" s="329">
        <v>44194</v>
      </c>
      <c r="J62" s="333">
        <f>I62-H62</f>
        <v>90</v>
      </c>
      <c r="K62" s="52" t="s">
        <v>370</v>
      </c>
      <c r="L62" s="330">
        <v>44224</v>
      </c>
      <c r="M62" s="347">
        <v>44501</v>
      </c>
      <c r="N62" s="52"/>
      <c r="O62" s="50">
        <f>((M62-L62)/7)/4.3</f>
        <v>9.2026578073089702</v>
      </c>
      <c r="P62" s="50"/>
      <c r="Q62" s="50"/>
      <c r="R62" s="182">
        <v>1641198</v>
      </c>
      <c r="S62" s="115">
        <v>103605</v>
      </c>
      <c r="T62" s="115">
        <v>0</v>
      </c>
      <c r="U62" s="115">
        <v>71204</v>
      </c>
      <c r="V62" s="115">
        <v>158532</v>
      </c>
      <c r="W62" s="115">
        <v>124183</v>
      </c>
      <c r="X62" s="115">
        <f>236910+83209</f>
        <v>320119</v>
      </c>
      <c r="Y62" s="115">
        <v>192377</v>
      </c>
      <c r="Z62" s="115">
        <v>74223</v>
      </c>
      <c r="AA62" s="115">
        <v>357461</v>
      </c>
      <c r="AB62" s="115">
        <v>34466.449999999997</v>
      </c>
      <c r="AC62" s="115">
        <v>131256.06</v>
      </c>
      <c r="AD62" s="275">
        <v>14494</v>
      </c>
      <c r="AE62" s="53"/>
      <c r="AF62" s="53">
        <v>115533.55000000005</v>
      </c>
      <c r="AG62" s="53"/>
      <c r="AH62" s="47"/>
      <c r="AI62" s="53">
        <f t="shared" si="14"/>
        <v>1697454.06</v>
      </c>
      <c r="AJ62" s="51"/>
      <c r="AK62" s="218">
        <f t="shared" si="3"/>
        <v>56260</v>
      </c>
      <c r="AM62" s="55"/>
    </row>
    <row r="63" spans="1:39" s="36" customFormat="1" ht="15.75" x14ac:dyDescent="0.25">
      <c r="A63" s="93"/>
      <c r="B63" s="94"/>
      <c r="C63" s="91"/>
      <c r="D63" s="91"/>
      <c r="E63" s="94"/>
      <c r="F63" s="91"/>
      <c r="G63" s="91"/>
      <c r="H63" s="91"/>
      <c r="I63" s="91"/>
      <c r="J63" s="92"/>
      <c r="K63" s="91"/>
      <c r="L63" s="91"/>
      <c r="M63" s="91"/>
      <c r="N63" s="91"/>
      <c r="O63" s="92"/>
      <c r="P63" s="92"/>
      <c r="Q63" s="92"/>
      <c r="R63" s="243">
        <f t="shared" ref="R63:AG63" si="15">SUM(R58:R62)</f>
        <v>14325559</v>
      </c>
      <c r="S63" s="59">
        <f t="shared" si="15"/>
        <v>5263503</v>
      </c>
      <c r="T63" s="59">
        <f t="shared" si="15"/>
        <v>1375256</v>
      </c>
      <c r="U63" s="59">
        <f t="shared" si="15"/>
        <v>1313087</v>
      </c>
      <c r="V63" s="59">
        <f t="shared" si="15"/>
        <v>1087838</v>
      </c>
      <c r="W63" s="59">
        <f t="shared" si="15"/>
        <v>1617924</v>
      </c>
      <c r="X63" s="59">
        <f t="shared" si="15"/>
        <v>1107329</v>
      </c>
      <c r="Y63" s="59">
        <f t="shared" si="15"/>
        <v>992684</v>
      </c>
      <c r="Z63" s="59">
        <f t="shared" si="15"/>
        <v>267436</v>
      </c>
      <c r="AA63" s="59">
        <f t="shared" si="15"/>
        <v>628472</v>
      </c>
      <c r="AB63" s="59">
        <f t="shared" si="15"/>
        <v>155380.96000000002</v>
      </c>
      <c r="AC63" s="59">
        <f t="shared" si="15"/>
        <v>257979.15</v>
      </c>
      <c r="AD63" s="59">
        <f t="shared" si="15"/>
        <v>73328</v>
      </c>
      <c r="AE63" s="59">
        <f t="shared" si="15"/>
        <v>0</v>
      </c>
      <c r="AF63" s="59">
        <f t="shared" si="15"/>
        <v>201424.03999999934</v>
      </c>
      <c r="AG63" s="59">
        <f t="shared" si="15"/>
        <v>0</v>
      </c>
      <c r="AH63" s="47"/>
      <c r="AI63" s="53">
        <f t="shared" si="14"/>
        <v>14341641.15</v>
      </c>
      <c r="AJ63" s="51"/>
      <c r="AK63" s="218">
        <f t="shared" si="3"/>
        <v>16080</v>
      </c>
      <c r="AM63" s="55"/>
    </row>
    <row r="64" spans="1:39" s="36" customFormat="1" ht="15.75" x14ac:dyDescent="0.25">
      <c r="A64" s="106" t="s">
        <v>571</v>
      </c>
      <c r="B64" s="107"/>
      <c r="C64" s="101" t="s">
        <v>563</v>
      </c>
      <c r="D64" s="102"/>
      <c r="E64" s="107"/>
      <c r="F64" s="102"/>
      <c r="G64" s="102"/>
      <c r="H64" s="276"/>
      <c r="I64" s="276"/>
      <c r="J64" s="84"/>
      <c r="K64" s="102"/>
      <c r="L64" s="102"/>
      <c r="M64" s="102"/>
      <c r="N64" s="102"/>
      <c r="O64" s="84"/>
      <c r="P64" s="84"/>
      <c r="Q64" s="84"/>
      <c r="R64" s="193"/>
      <c r="S64" s="85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47"/>
      <c r="AI64" s="85"/>
      <c r="AJ64" s="51"/>
      <c r="AK64" s="218">
        <f t="shared" si="3"/>
        <v>0</v>
      </c>
    </row>
    <row r="65" spans="1:39" s="36" customFormat="1" ht="15.75" x14ac:dyDescent="0.25">
      <c r="A65" s="34" t="s">
        <v>60</v>
      </c>
      <c r="B65" s="35" t="s">
        <v>377</v>
      </c>
      <c r="C65" s="52" t="s">
        <v>563</v>
      </c>
      <c r="D65" s="52" t="s">
        <v>631</v>
      </c>
      <c r="E65" s="35" t="s">
        <v>62</v>
      </c>
      <c r="F65" s="52" t="s">
        <v>46</v>
      </c>
      <c r="G65" s="52"/>
      <c r="H65" s="330">
        <v>44054</v>
      </c>
      <c r="I65" s="330">
        <v>44147</v>
      </c>
      <c r="J65" s="333">
        <f>I65-H65</f>
        <v>93</v>
      </c>
      <c r="K65" s="52" t="s">
        <v>370</v>
      </c>
      <c r="L65" s="329">
        <v>44119</v>
      </c>
      <c r="M65" s="87">
        <v>44531</v>
      </c>
      <c r="N65" s="87"/>
      <c r="O65" s="88">
        <f>((M65-L65)/7)/4.3</f>
        <v>13.687707641196013</v>
      </c>
      <c r="P65" s="88"/>
      <c r="Q65" s="88"/>
      <c r="R65" s="181">
        <v>13107911</v>
      </c>
      <c r="S65" s="115">
        <v>802663</v>
      </c>
      <c r="T65" s="115">
        <v>1051823</v>
      </c>
      <c r="U65" s="115">
        <v>822272</v>
      </c>
      <c r="V65" s="115">
        <v>1170091</v>
      </c>
      <c r="W65" s="115">
        <v>1068761</v>
      </c>
      <c r="X65" s="115">
        <v>823660</v>
      </c>
      <c r="Y65" s="115">
        <v>1536928</v>
      </c>
      <c r="Z65" s="115">
        <v>1558003</v>
      </c>
      <c r="AA65" s="115">
        <v>1521211</v>
      </c>
      <c r="AB65" s="115">
        <v>1384616.45</v>
      </c>
      <c r="AC65" s="115">
        <v>896696.76</v>
      </c>
      <c r="AD65" s="275">
        <v>800000</v>
      </c>
      <c r="AE65" s="275">
        <v>52499</v>
      </c>
      <c r="AF65" s="58">
        <v>-434616.44999999925</v>
      </c>
      <c r="AG65" s="53"/>
      <c r="AH65" s="47"/>
      <c r="AI65" s="53">
        <f>SUM(S65:AH65)</f>
        <v>13054607.76</v>
      </c>
      <c r="AJ65" s="51"/>
      <c r="AK65" s="218">
        <f t="shared" si="3"/>
        <v>-53300</v>
      </c>
      <c r="AM65" s="55"/>
    </row>
    <row r="66" spans="1:39" s="36" customFormat="1" ht="15.75" x14ac:dyDescent="0.25">
      <c r="A66" s="93"/>
      <c r="B66" s="94"/>
      <c r="C66" s="91"/>
      <c r="D66" s="91"/>
      <c r="E66" s="94"/>
      <c r="F66" s="91"/>
      <c r="G66" s="91"/>
      <c r="H66" s="91"/>
      <c r="I66" s="91"/>
      <c r="J66" s="92"/>
      <c r="K66" s="91"/>
      <c r="L66" s="91"/>
      <c r="M66" s="91"/>
      <c r="N66" s="91"/>
      <c r="O66" s="92"/>
      <c r="P66" s="92"/>
      <c r="Q66" s="92"/>
      <c r="R66" s="59">
        <f t="shared" ref="R66:AG66" si="16">SUM(R65)</f>
        <v>13107911</v>
      </c>
      <c r="S66" s="59">
        <f t="shared" si="16"/>
        <v>802663</v>
      </c>
      <c r="T66" s="59">
        <f t="shared" si="16"/>
        <v>1051823</v>
      </c>
      <c r="U66" s="59">
        <f t="shared" si="16"/>
        <v>822272</v>
      </c>
      <c r="V66" s="59">
        <f t="shared" si="16"/>
        <v>1170091</v>
      </c>
      <c r="W66" s="59">
        <f t="shared" si="16"/>
        <v>1068761</v>
      </c>
      <c r="X66" s="59">
        <f t="shared" si="16"/>
        <v>823660</v>
      </c>
      <c r="Y66" s="59">
        <f t="shared" si="16"/>
        <v>1536928</v>
      </c>
      <c r="Z66" s="59">
        <f t="shared" si="16"/>
        <v>1558003</v>
      </c>
      <c r="AA66" s="59">
        <f t="shared" si="16"/>
        <v>1521211</v>
      </c>
      <c r="AB66" s="59">
        <f t="shared" si="16"/>
        <v>1384616.45</v>
      </c>
      <c r="AC66" s="59">
        <f t="shared" si="16"/>
        <v>896696.76</v>
      </c>
      <c r="AD66" s="59">
        <f t="shared" si="16"/>
        <v>800000</v>
      </c>
      <c r="AE66" s="59">
        <f t="shared" si="16"/>
        <v>52499</v>
      </c>
      <c r="AF66" s="59">
        <f t="shared" si="16"/>
        <v>-434616.44999999925</v>
      </c>
      <c r="AG66" s="59">
        <f t="shared" si="16"/>
        <v>0</v>
      </c>
      <c r="AH66" s="47"/>
      <c r="AI66" s="53">
        <f>SUM(S66:AH66)</f>
        <v>13054607.76</v>
      </c>
      <c r="AJ66" s="51"/>
      <c r="AK66" s="218">
        <f t="shared" si="3"/>
        <v>-53300</v>
      </c>
    </row>
    <row r="67" spans="1:39" s="36" customFormat="1" ht="15.75" x14ac:dyDescent="0.25">
      <c r="A67" s="106" t="s">
        <v>517</v>
      </c>
      <c r="B67" s="107"/>
      <c r="C67" s="101" t="s">
        <v>563</v>
      </c>
      <c r="D67" s="102"/>
      <c r="E67" s="107"/>
      <c r="F67" s="102"/>
      <c r="G67" s="102"/>
      <c r="H67" s="276"/>
      <c r="I67" s="276"/>
      <c r="J67" s="84"/>
      <c r="K67" s="102"/>
      <c r="L67" s="102"/>
      <c r="M67" s="102"/>
      <c r="N67" s="102"/>
      <c r="O67" s="84"/>
      <c r="P67" s="84"/>
      <c r="Q67" s="84"/>
      <c r="R67" s="193"/>
      <c r="S67" s="85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47"/>
      <c r="AI67" s="85"/>
      <c r="AJ67" s="51"/>
      <c r="AK67" s="218">
        <f t="shared" si="3"/>
        <v>0</v>
      </c>
    </row>
    <row r="68" spans="1:39" s="36" customFormat="1" ht="15.75" x14ac:dyDescent="0.25">
      <c r="A68" s="312" t="s">
        <v>634</v>
      </c>
      <c r="B68" s="312" t="s">
        <v>576</v>
      </c>
      <c r="C68" s="310" t="s">
        <v>563</v>
      </c>
      <c r="D68" s="310" t="s">
        <v>708</v>
      </c>
      <c r="E68" s="312" t="s">
        <v>685</v>
      </c>
      <c r="F68" s="310" t="s">
        <v>237</v>
      </c>
      <c r="G68" s="310"/>
      <c r="H68" s="318" t="s">
        <v>24</v>
      </c>
      <c r="I68" s="318" t="s">
        <v>24</v>
      </c>
      <c r="J68" s="318" t="s">
        <v>24</v>
      </c>
      <c r="K68" s="318" t="s">
        <v>24</v>
      </c>
      <c r="L68" s="318">
        <v>44382</v>
      </c>
      <c r="M68" s="318">
        <v>44428</v>
      </c>
      <c r="N68" s="318"/>
      <c r="O68" s="311">
        <f t="shared" ref="O68:O80" si="17">((M68-L68)/7)/4.3</f>
        <v>1.5282392026578073</v>
      </c>
      <c r="P68" s="311"/>
      <c r="Q68" s="311"/>
      <c r="R68" s="306">
        <v>89125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28797</v>
      </c>
      <c r="AB68" s="115">
        <v>8473.4</v>
      </c>
      <c r="AC68" s="115">
        <v>0</v>
      </c>
      <c r="AD68" s="53"/>
      <c r="AE68" s="53"/>
      <c r="AF68" s="275">
        <v>51854.600000000006</v>
      </c>
      <c r="AG68" s="53"/>
      <c r="AH68" s="47"/>
      <c r="AI68" s="53">
        <f t="shared" ref="AI68:AI84" si="18">SUM(S68:AH68)</f>
        <v>89125</v>
      </c>
      <c r="AJ68" s="51"/>
      <c r="AK68" s="218">
        <f t="shared" si="3"/>
        <v>0</v>
      </c>
      <c r="AM68" s="55"/>
    </row>
    <row r="69" spans="1:39" s="36" customFormat="1" ht="15.75" x14ac:dyDescent="0.25">
      <c r="A69" s="312" t="s">
        <v>635</v>
      </c>
      <c r="B69" s="312" t="s">
        <v>577</v>
      </c>
      <c r="C69" s="310" t="s">
        <v>563</v>
      </c>
      <c r="D69" s="310" t="s">
        <v>708</v>
      </c>
      <c r="E69" s="312" t="s">
        <v>686</v>
      </c>
      <c r="F69" s="310" t="s">
        <v>237</v>
      </c>
      <c r="G69" s="310"/>
      <c r="H69" s="318" t="s">
        <v>24</v>
      </c>
      <c r="I69" s="318" t="s">
        <v>24</v>
      </c>
      <c r="J69" s="318" t="s">
        <v>24</v>
      </c>
      <c r="K69" s="318" t="s">
        <v>24</v>
      </c>
      <c r="L69" s="318">
        <v>44382</v>
      </c>
      <c r="M69" s="318">
        <v>44428</v>
      </c>
      <c r="N69" s="318"/>
      <c r="O69" s="311">
        <f t="shared" si="17"/>
        <v>1.5282392026578073</v>
      </c>
      <c r="P69" s="311"/>
      <c r="Q69" s="311"/>
      <c r="R69" s="306">
        <v>75650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24902</v>
      </c>
      <c r="AB69" s="115">
        <v>5295.49</v>
      </c>
      <c r="AC69" s="115">
        <v>0</v>
      </c>
      <c r="AD69" s="53"/>
      <c r="AE69" s="53"/>
      <c r="AF69" s="275">
        <v>45452.510000000009</v>
      </c>
      <c r="AG69" s="53"/>
      <c r="AH69" s="47"/>
      <c r="AI69" s="53">
        <f t="shared" si="18"/>
        <v>75650</v>
      </c>
      <c r="AJ69" s="51"/>
      <c r="AK69" s="218">
        <f t="shared" ref="AK69:AK132" si="19">ROUND(AI69-R69,-1)</f>
        <v>0</v>
      </c>
      <c r="AM69" s="55"/>
    </row>
    <row r="70" spans="1:39" s="36" customFormat="1" ht="15.75" x14ac:dyDescent="0.25">
      <c r="A70" s="312" t="s">
        <v>215</v>
      </c>
      <c r="B70" s="313" t="s">
        <v>674</v>
      </c>
      <c r="C70" s="310" t="s">
        <v>563</v>
      </c>
      <c r="D70" s="310" t="s">
        <v>708</v>
      </c>
      <c r="E70" s="313" t="s">
        <v>636</v>
      </c>
      <c r="F70" s="310" t="s">
        <v>237</v>
      </c>
      <c r="G70" s="310"/>
      <c r="H70" s="318">
        <v>44299</v>
      </c>
      <c r="I70" s="318">
        <v>44313</v>
      </c>
      <c r="J70" s="331">
        <f>I70-H70</f>
        <v>14</v>
      </c>
      <c r="K70" s="310" t="s">
        <v>370</v>
      </c>
      <c r="L70" s="318">
        <v>44333</v>
      </c>
      <c r="M70" s="318">
        <v>44356</v>
      </c>
      <c r="N70" s="310"/>
      <c r="O70" s="311">
        <f t="shared" si="17"/>
        <v>0.76411960132890366</v>
      </c>
      <c r="P70" s="311"/>
      <c r="Q70" s="311"/>
      <c r="R70" s="306">
        <v>67027</v>
      </c>
      <c r="S70" s="115">
        <v>0</v>
      </c>
      <c r="T70" s="115">
        <v>0</v>
      </c>
      <c r="U70" s="115">
        <v>0</v>
      </c>
      <c r="V70" s="115">
        <v>0</v>
      </c>
      <c r="W70" s="115">
        <v>0</v>
      </c>
      <c r="X70" s="115">
        <v>0</v>
      </c>
      <c r="Y70" s="115">
        <v>67027</v>
      </c>
      <c r="Z70" s="115">
        <v>0</v>
      </c>
      <c r="AA70" s="115">
        <v>0</v>
      </c>
      <c r="AB70" s="115">
        <v>0</v>
      </c>
      <c r="AC70" s="115">
        <v>0</v>
      </c>
      <c r="AD70" s="53"/>
      <c r="AE70" s="53"/>
      <c r="AF70" s="53"/>
      <c r="AG70" s="53"/>
      <c r="AH70" s="47"/>
      <c r="AI70" s="53">
        <f t="shared" si="18"/>
        <v>67027</v>
      </c>
      <c r="AJ70" s="51"/>
      <c r="AK70" s="218">
        <f t="shared" si="19"/>
        <v>0</v>
      </c>
    </row>
    <row r="71" spans="1:39" s="36" customFormat="1" ht="15.75" x14ac:dyDescent="0.25">
      <c r="A71" s="60" t="s">
        <v>560</v>
      </c>
      <c r="B71" s="112" t="s">
        <v>637</v>
      </c>
      <c r="C71" s="52" t="s">
        <v>563</v>
      </c>
      <c r="D71" s="52" t="s">
        <v>708</v>
      </c>
      <c r="E71" s="61" t="s">
        <v>638</v>
      </c>
      <c r="F71" s="52" t="s">
        <v>46</v>
      </c>
      <c r="G71" s="52"/>
      <c r="H71" s="330">
        <v>44369</v>
      </c>
      <c r="I71" s="330">
        <v>44389</v>
      </c>
      <c r="J71" s="333">
        <f>I71-H71</f>
        <v>20</v>
      </c>
      <c r="K71" s="52" t="s">
        <v>370</v>
      </c>
      <c r="L71" s="330">
        <v>44382</v>
      </c>
      <c r="M71" s="329">
        <v>44470</v>
      </c>
      <c r="N71" s="52"/>
      <c r="O71" s="50">
        <f t="shared" si="17"/>
        <v>2.9235880398671097</v>
      </c>
      <c r="P71" s="50"/>
      <c r="Q71" s="50"/>
      <c r="R71" s="182">
        <v>38040</v>
      </c>
      <c r="S71" s="115"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38040</v>
      </c>
      <c r="AB71" s="115">
        <v>0</v>
      </c>
      <c r="AC71" s="115">
        <v>0</v>
      </c>
      <c r="AD71" s="58"/>
      <c r="AE71" s="58"/>
      <c r="AF71" s="58"/>
      <c r="AG71" s="53"/>
      <c r="AH71" s="47"/>
      <c r="AI71" s="53">
        <f t="shared" si="18"/>
        <v>38040</v>
      </c>
      <c r="AJ71" s="51"/>
      <c r="AK71" s="218">
        <f t="shared" si="19"/>
        <v>0</v>
      </c>
    </row>
    <row r="72" spans="1:39" s="36" customFormat="1" ht="15.75" x14ac:dyDescent="0.25">
      <c r="A72" s="316" t="s">
        <v>556</v>
      </c>
      <c r="B72" s="317" t="s">
        <v>672</v>
      </c>
      <c r="C72" s="310" t="s">
        <v>563</v>
      </c>
      <c r="D72" s="310" t="s">
        <v>708</v>
      </c>
      <c r="E72" s="317" t="s">
        <v>640</v>
      </c>
      <c r="F72" s="310" t="s">
        <v>237</v>
      </c>
      <c r="G72" s="310"/>
      <c r="H72" s="318">
        <v>44330</v>
      </c>
      <c r="I72" s="318">
        <v>44362</v>
      </c>
      <c r="J72" s="331">
        <f>I72-H72</f>
        <v>32</v>
      </c>
      <c r="K72" s="310" t="s">
        <v>370</v>
      </c>
      <c r="L72" s="318">
        <v>44368</v>
      </c>
      <c r="M72" s="318">
        <v>44425</v>
      </c>
      <c r="N72" s="318"/>
      <c r="O72" s="311">
        <f t="shared" si="17"/>
        <v>1.893687707641196</v>
      </c>
      <c r="P72" s="311"/>
      <c r="Q72" s="311"/>
      <c r="R72" s="306">
        <v>74344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74344</v>
      </c>
      <c r="AB72" s="115">
        <v>0</v>
      </c>
      <c r="AC72" s="115">
        <v>0</v>
      </c>
      <c r="AD72" s="58"/>
      <c r="AE72" s="58"/>
      <c r="AF72" s="58"/>
      <c r="AG72" s="53"/>
      <c r="AH72" s="47"/>
      <c r="AI72" s="53">
        <f t="shared" si="18"/>
        <v>74344</v>
      </c>
      <c r="AJ72" s="51"/>
      <c r="AK72" s="218">
        <f t="shared" si="19"/>
        <v>0</v>
      </c>
    </row>
    <row r="73" spans="1:39" s="36" customFormat="1" ht="15.75" x14ac:dyDescent="0.25">
      <c r="A73" s="316" t="s">
        <v>554</v>
      </c>
      <c r="B73" s="317" t="s">
        <v>673</v>
      </c>
      <c r="C73" s="310" t="s">
        <v>563</v>
      </c>
      <c r="D73" s="310" t="s">
        <v>708</v>
      </c>
      <c r="E73" s="317" t="s">
        <v>639</v>
      </c>
      <c r="F73" s="310" t="s">
        <v>237</v>
      </c>
      <c r="G73" s="310"/>
      <c r="H73" s="318" t="s">
        <v>24</v>
      </c>
      <c r="I73" s="318" t="s">
        <v>24</v>
      </c>
      <c r="J73" s="331" t="s">
        <v>24</v>
      </c>
      <c r="K73" s="318" t="s">
        <v>24</v>
      </c>
      <c r="L73" s="318">
        <v>44358</v>
      </c>
      <c r="M73" s="318">
        <v>44379</v>
      </c>
      <c r="N73" s="310"/>
      <c r="O73" s="311">
        <f t="shared" si="17"/>
        <v>0.69767441860465118</v>
      </c>
      <c r="P73" s="311"/>
      <c r="Q73" s="311"/>
      <c r="R73" s="306">
        <v>6336</v>
      </c>
      <c r="S73" s="115">
        <v>0</v>
      </c>
      <c r="T73" s="115">
        <v>0</v>
      </c>
      <c r="U73" s="115">
        <v>0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6336</v>
      </c>
      <c r="AB73" s="115">
        <v>0</v>
      </c>
      <c r="AC73" s="115">
        <v>0</v>
      </c>
      <c r="AD73" s="58"/>
      <c r="AE73" s="58"/>
      <c r="AF73" s="58"/>
      <c r="AG73" s="53"/>
      <c r="AH73" s="47"/>
      <c r="AI73" s="53">
        <f t="shared" si="18"/>
        <v>6336</v>
      </c>
      <c r="AJ73" s="51"/>
      <c r="AK73" s="218">
        <f t="shared" si="19"/>
        <v>0</v>
      </c>
    </row>
    <row r="74" spans="1:39" s="36" customFormat="1" ht="15.75" x14ac:dyDescent="0.25">
      <c r="A74" s="64" t="s">
        <v>150</v>
      </c>
      <c r="B74" s="324" t="s">
        <v>151</v>
      </c>
      <c r="C74" s="52" t="s">
        <v>563</v>
      </c>
      <c r="D74" s="52" t="s">
        <v>708</v>
      </c>
      <c r="E74" s="65" t="s">
        <v>709</v>
      </c>
      <c r="F74" s="52" t="s">
        <v>46</v>
      </c>
      <c r="G74" s="52"/>
      <c r="H74" s="330">
        <v>44369</v>
      </c>
      <c r="I74" s="347">
        <v>44477</v>
      </c>
      <c r="J74" s="50">
        <f>I74-H74</f>
        <v>108</v>
      </c>
      <c r="K74" s="52" t="s">
        <v>320</v>
      </c>
      <c r="L74" s="52">
        <f>I74+30</f>
        <v>44507</v>
      </c>
      <c r="M74" s="52">
        <v>44680</v>
      </c>
      <c r="N74" s="52"/>
      <c r="O74" s="50">
        <f t="shared" si="17"/>
        <v>5.7475083056478411</v>
      </c>
      <c r="P74" s="50"/>
      <c r="Q74" s="50"/>
      <c r="R74" s="182">
        <v>1910050</v>
      </c>
      <c r="S74" s="115">
        <v>0</v>
      </c>
      <c r="T74" s="115">
        <v>0</v>
      </c>
      <c r="U74" s="115">
        <v>0</v>
      </c>
      <c r="V74" s="115">
        <v>0</v>
      </c>
      <c r="W74" s="115">
        <v>0</v>
      </c>
      <c r="X74" s="115">
        <v>0</v>
      </c>
      <c r="Y74" s="115">
        <f>119451</f>
        <v>119451</v>
      </c>
      <c r="Z74" s="115">
        <v>0</v>
      </c>
      <c r="AA74" s="115">
        <v>139349</v>
      </c>
      <c r="AB74" s="115">
        <v>0</v>
      </c>
      <c r="AC74" s="115">
        <v>270190.82999999996</v>
      </c>
      <c r="AD74" s="275">
        <v>175000</v>
      </c>
      <c r="AE74" s="275">
        <v>175000</v>
      </c>
      <c r="AF74" s="275">
        <v>1079250</v>
      </c>
      <c r="AG74" s="58"/>
      <c r="AH74" s="47"/>
      <c r="AI74" s="53">
        <f t="shared" si="18"/>
        <v>1958240.83</v>
      </c>
      <c r="AJ74" s="51"/>
      <c r="AK74" s="218">
        <f t="shared" si="19"/>
        <v>48190</v>
      </c>
      <c r="AM74" s="55"/>
    </row>
    <row r="75" spans="1:39" s="36" customFormat="1" ht="15.75" x14ac:dyDescent="0.25">
      <c r="A75" s="64" t="s">
        <v>153</v>
      </c>
      <c r="B75" s="324" t="s">
        <v>424</v>
      </c>
      <c r="C75" s="52" t="s">
        <v>563</v>
      </c>
      <c r="D75" s="52" t="s">
        <v>708</v>
      </c>
      <c r="E75" s="65" t="s">
        <v>710</v>
      </c>
      <c r="F75" s="52" t="s">
        <v>46</v>
      </c>
      <c r="G75" s="52"/>
      <c r="H75" s="347">
        <v>44484</v>
      </c>
      <c r="I75" s="52">
        <f>H75+30</f>
        <v>44514</v>
      </c>
      <c r="J75" s="50">
        <f>I75-H75</f>
        <v>30</v>
      </c>
      <c r="K75" s="52" t="s">
        <v>320</v>
      </c>
      <c r="L75" s="52">
        <f>I75+30</f>
        <v>44544</v>
      </c>
      <c r="M75" s="52">
        <v>44706</v>
      </c>
      <c r="N75" s="52"/>
      <c r="O75" s="50">
        <f t="shared" si="17"/>
        <v>5.382059800664452</v>
      </c>
      <c r="P75" s="50"/>
      <c r="Q75" s="50"/>
      <c r="R75" s="182">
        <v>288979</v>
      </c>
      <c r="S75" s="115">
        <v>0</v>
      </c>
      <c r="T75" s="115">
        <v>0</v>
      </c>
      <c r="U75" s="115">
        <v>0</v>
      </c>
      <c r="V75" s="115">
        <v>0</v>
      </c>
      <c r="W75" s="115">
        <v>0</v>
      </c>
      <c r="X75" s="115">
        <v>0</v>
      </c>
      <c r="Y75" s="115">
        <f>7826</f>
        <v>7826</v>
      </c>
      <c r="Z75" s="115">
        <v>0</v>
      </c>
      <c r="AA75" s="115">
        <v>9711</v>
      </c>
      <c r="AB75" s="115">
        <v>0</v>
      </c>
      <c r="AC75" s="115">
        <v>0</v>
      </c>
      <c r="AD75" s="275">
        <v>34000</v>
      </c>
      <c r="AE75" s="275">
        <v>20000</v>
      </c>
      <c r="AF75" s="275">
        <v>189442</v>
      </c>
      <c r="AG75" s="53"/>
      <c r="AH75" s="47"/>
      <c r="AI75" s="53">
        <f t="shared" si="18"/>
        <v>260979</v>
      </c>
      <c r="AJ75" s="51"/>
      <c r="AK75" s="218">
        <f t="shared" si="19"/>
        <v>-28000</v>
      </c>
      <c r="AM75" s="55"/>
    </row>
    <row r="76" spans="1:39" s="36" customFormat="1" ht="15.75" x14ac:dyDescent="0.25">
      <c r="A76" s="64" t="s">
        <v>155</v>
      </c>
      <c r="B76" s="324" t="s">
        <v>426</v>
      </c>
      <c r="C76" s="52" t="s">
        <v>563</v>
      </c>
      <c r="D76" s="52" t="s">
        <v>708</v>
      </c>
      <c r="E76" s="65" t="s">
        <v>711</v>
      </c>
      <c r="F76" s="52" t="s">
        <v>46</v>
      </c>
      <c r="G76" s="52"/>
      <c r="H76" s="347">
        <v>44491</v>
      </c>
      <c r="I76" s="52">
        <f>H76+30</f>
        <v>44521</v>
      </c>
      <c r="J76" s="50">
        <f>I76-H76</f>
        <v>30</v>
      </c>
      <c r="K76" s="52" t="s">
        <v>320</v>
      </c>
      <c r="L76" s="52">
        <f>I76+30</f>
        <v>44551</v>
      </c>
      <c r="M76" s="52">
        <v>44706</v>
      </c>
      <c r="N76" s="52"/>
      <c r="O76" s="50">
        <f t="shared" si="17"/>
        <v>5.1495016611295679</v>
      </c>
      <c r="P76" s="50"/>
      <c r="Q76" s="50"/>
      <c r="R76" s="182">
        <v>366822</v>
      </c>
      <c r="S76" s="115">
        <v>0</v>
      </c>
      <c r="T76" s="115">
        <v>0</v>
      </c>
      <c r="U76" s="115">
        <v>0</v>
      </c>
      <c r="V76" s="115">
        <v>0</v>
      </c>
      <c r="W76" s="115">
        <v>0</v>
      </c>
      <c r="X76" s="115">
        <v>0</v>
      </c>
      <c r="Y76" s="115">
        <f>7716</f>
        <v>7716</v>
      </c>
      <c r="Z76" s="115">
        <v>0</v>
      </c>
      <c r="AA76" s="115">
        <v>12408</v>
      </c>
      <c r="AB76" s="115">
        <v>0</v>
      </c>
      <c r="AC76" s="115">
        <v>0</v>
      </c>
      <c r="AD76" s="275">
        <v>44000</v>
      </c>
      <c r="AE76" s="275">
        <v>26000</v>
      </c>
      <c r="AF76" s="275">
        <v>240698</v>
      </c>
      <c r="AG76" s="53"/>
      <c r="AH76" s="47"/>
      <c r="AI76" s="53">
        <f t="shared" si="18"/>
        <v>330822</v>
      </c>
      <c r="AJ76" s="51"/>
      <c r="AK76" s="218">
        <f t="shared" si="19"/>
        <v>-36000</v>
      </c>
      <c r="AM76" s="55"/>
    </row>
    <row r="77" spans="1:39" s="36" customFormat="1" ht="15.75" x14ac:dyDescent="0.25">
      <c r="A77" s="316" t="s">
        <v>113</v>
      </c>
      <c r="B77" s="317" t="s">
        <v>114</v>
      </c>
      <c r="C77" s="310" t="s">
        <v>563</v>
      </c>
      <c r="D77" s="310" t="s">
        <v>708</v>
      </c>
      <c r="E77" s="317" t="s">
        <v>687</v>
      </c>
      <c r="F77" s="310" t="s">
        <v>237</v>
      </c>
      <c r="G77" s="310"/>
      <c r="H77" s="318" t="s">
        <v>24</v>
      </c>
      <c r="I77" s="318" t="s">
        <v>24</v>
      </c>
      <c r="J77" s="331" t="s">
        <v>24</v>
      </c>
      <c r="K77" s="310" t="s">
        <v>370</v>
      </c>
      <c r="L77" s="318">
        <v>44256</v>
      </c>
      <c r="M77" s="318">
        <v>44347</v>
      </c>
      <c r="N77" s="318"/>
      <c r="O77" s="311">
        <f t="shared" si="17"/>
        <v>3.0232558139534884</v>
      </c>
      <c r="P77" s="311"/>
      <c r="Q77" s="311"/>
      <c r="R77" s="306">
        <v>52095</v>
      </c>
      <c r="S77" s="115">
        <v>0</v>
      </c>
      <c r="T77" s="115">
        <v>0</v>
      </c>
      <c r="U77" s="115">
        <v>0</v>
      </c>
      <c r="V77" s="115">
        <v>0</v>
      </c>
      <c r="W77" s="115">
        <v>0</v>
      </c>
      <c r="X77" s="115">
        <v>0</v>
      </c>
      <c r="Y77" s="115">
        <v>52095</v>
      </c>
      <c r="Z77" s="115">
        <v>0</v>
      </c>
      <c r="AA77" s="115">
        <v>0</v>
      </c>
      <c r="AB77" s="115">
        <v>0</v>
      </c>
      <c r="AC77" s="115">
        <v>0</v>
      </c>
      <c r="AD77" s="53"/>
      <c r="AE77" s="53"/>
      <c r="AF77" s="53">
        <v>0</v>
      </c>
      <c r="AG77" s="53"/>
      <c r="AH77" s="47"/>
      <c r="AI77" s="53">
        <f t="shared" si="18"/>
        <v>52095</v>
      </c>
      <c r="AJ77" s="51"/>
      <c r="AK77" s="218">
        <f t="shared" si="19"/>
        <v>0</v>
      </c>
      <c r="AM77" s="55"/>
    </row>
    <row r="78" spans="1:39" s="36" customFormat="1" ht="15.75" x14ac:dyDescent="0.25">
      <c r="A78" s="312" t="s">
        <v>199</v>
      </c>
      <c r="B78" s="312" t="s">
        <v>675</v>
      </c>
      <c r="C78" s="310" t="s">
        <v>563</v>
      </c>
      <c r="D78" s="310" t="s">
        <v>708</v>
      </c>
      <c r="E78" s="312" t="s">
        <v>688</v>
      </c>
      <c r="F78" s="310" t="s">
        <v>237</v>
      </c>
      <c r="G78" s="310"/>
      <c r="H78" s="318">
        <v>44277</v>
      </c>
      <c r="I78" s="318">
        <v>44302</v>
      </c>
      <c r="J78" s="331">
        <f t="shared" ref="J78:J83" si="20">I78-H78</f>
        <v>25</v>
      </c>
      <c r="K78" s="310" t="s">
        <v>370</v>
      </c>
      <c r="L78" s="318">
        <v>44340</v>
      </c>
      <c r="M78" s="318">
        <v>44419</v>
      </c>
      <c r="N78" s="318"/>
      <c r="O78" s="311">
        <f t="shared" si="17"/>
        <v>2.6245847176079735</v>
      </c>
      <c r="P78" s="311"/>
      <c r="Q78" s="311"/>
      <c r="R78" s="306">
        <v>156692</v>
      </c>
      <c r="S78" s="115">
        <v>0</v>
      </c>
      <c r="T78" s="115">
        <v>0</v>
      </c>
      <c r="U78" s="115">
        <v>0</v>
      </c>
      <c r="V78" s="115">
        <v>0</v>
      </c>
      <c r="W78" s="115">
        <v>0</v>
      </c>
      <c r="X78" s="115">
        <v>0</v>
      </c>
      <c r="Y78" s="115">
        <v>0</v>
      </c>
      <c r="Z78" s="115">
        <v>156692</v>
      </c>
      <c r="AA78" s="115">
        <v>0</v>
      </c>
      <c r="AB78" s="115">
        <v>0</v>
      </c>
      <c r="AC78" s="115">
        <v>0</v>
      </c>
      <c r="AD78" s="53"/>
      <c r="AE78" s="53"/>
      <c r="AF78" s="53">
        <v>0</v>
      </c>
      <c r="AG78" s="53"/>
      <c r="AH78" s="47"/>
      <c r="AI78" s="53">
        <f t="shared" si="18"/>
        <v>156692</v>
      </c>
      <c r="AJ78" s="51"/>
      <c r="AK78" s="218">
        <f t="shared" si="19"/>
        <v>0</v>
      </c>
      <c r="AM78" s="55"/>
    </row>
    <row r="79" spans="1:39" s="36" customFormat="1" ht="15.75" x14ac:dyDescent="0.25">
      <c r="A79" s="312" t="s">
        <v>201</v>
      </c>
      <c r="B79" s="312" t="s">
        <v>676</v>
      </c>
      <c r="C79" s="310" t="s">
        <v>563</v>
      </c>
      <c r="D79" s="310" t="s">
        <v>708</v>
      </c>
      <c r="E79" s="312" t="s">
        <v>690</v>
      </c>
      <c r="F79" s="310" t="s">
        <v>237</v>
      </c>
      <c r="G79" s="310"/>
      <c r="H79" s="318">
        <v>44277</v>
      </c>
      <c r="I79" s="318">
        <v>44293</v>
      </c>
      <c r="J79" s="331">
        <f t="shared" si="20"/>
        <v>16</v>
      </c>
      <c r="K79" s="310" t="s">
        <v>370</v>
      </c>
      <c r="L79" s="318">
        <v>44340</v>
      </c>
      <c r="M79" s="318">
        <v>44417</v>
      </c>
      <c r="N79" s="318"/>
      <c r="O79" s="311">
        <f t="shared" si="17"/>
        <v>2.558139534883721</v>
      </c>
      <c r="P79" s="311"/>
      <c r="Q79" s="311"/>
      <c r="R79" s="306">
        <v>94557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15">
        <v>0</v>
      </c>
      <c r="Z79" s="115">
        <v>94557</v>
      </c>
      <c r="AA79" s="115">
        <v>0</v>
      </c>
      <c r="AB79" s="115">
        <v>0</v>
      </c>
      <c r="AC79" s="115">
        <v>13646.35</v>
      </c>
      <c r="AD79" s="53"/>
      <c r="AE79" s="53"/>
      <c r="AF79" s="53">
        <v>0</v>
      </c>
      <c r="AG79" s="53"/>
      <c r="AH79" s="47"/>
      <c r="AI79" s="53">
        <f t="shared" si="18"/>
        <v>108203.35</v>
      </c>
      <c r="AJ79" s="51"/>
      <c r="AK79" s="218">
        <f t="shared" si="19"/>
        <v>13650</v>
      </c>
      <c r="AM79" s="55"/>
    </row>
    <row r="80" spans="1:39" s="36" customFormat="1" ht="15.75" x14ac:dyDescent="0.25">
      <c r="A80" s="34" t="s">
        <v>544</v>
      </c>
      <c r="B80" s="63" t="s">
        <v>670</v>
      </c>
      <c r="C80" s="52" t="s">
        <v>563</v>
      </c>
      <c r="D80" s="52" t="s">
        <v>708</v>
      </c>
      <c r="E80" s="34" t="s">
        <v>742</v>
      </c>
      <c r="F80" s="52" t="s">
        <v>46</v>
      </c>
      <c r="G80" s="52"/>
      <c r="H80" s="330">
        <v>44440</v>
      </c>
      <c r="I80" s="349">
        <v>44455</v>
      </c>
      <c r="J80" s="333">
        <f t="shared" si="20"/>
        <v>15</v>
      </c>
      <c r="K80" s="52"/>
      <c r="L80" s="330">
        <v>44461</v>
      </c>
      <c r="M80" s="52">
        <v>44486</v>
      </c>
      <c r="N80" s="330"/>
      <c r="O80" s="88">
        <f t="shared" si="17"/>
        <v>0.83056478405315626</v>
      </c>
      <c r="P80" s="50"/>
      <c r="Q80" s="50"/>
      <c r="R80" s="181">
        <v>29164</v>
      </c>
      <c r="S80" s="115">
        <v>0</v>
      </c>
      <c r="T80" s="115">
        <v>0</v>
      </c>
      <c r="U80" s="115">
        <v>0</v>
      </c>
      <c r="V80" s="115">
        <v>0</v>
      </c>
      <c r="W80" s="115">
        <v>0</v>
      </c>
      <c r="X80" s="115">
        <v>0</v>
      </c>
      <c r="Y80" s="115">
        <v>0</v>
      </c>
      <c r="Z80" s="115">
        <v>0</v>
      </c>
      <c r="AA80" s="115">
        <v>0</v>
      </c>
      <c r="AB80" s="115">
        <v>0</v>
      </c>
      <c r="AC80" s="115">
        <v>0</v>
      </c>
      <c r="AD80" s="53"/>
      <c r="AE80" s="53"/>
      <c r="AF80" s="53">
        <v>22329</v>
      </c>
      <c r="AG80" s="53"/>
      <c r="AH80" s="47"/>
      <c r="AI80" s="53">
        <f t="shared" si="18"/>
        <v>22329</v>
      </c>
      <c r="AJ80" s="51"/>
      <c r="AK80" s="218">
        <f t="shared" si="19"/>
        <v>-6840</v>
      </c>
      <c r="AM80" s="55"/>
    </row>
    <row r="81" spans="1:39" s="36" customFormat="1" ht="15.75" x14ac:dyDescent="0.25">
      <c r="A81" s="312" t="s">
        <v>529</v>
      </c>
      <c r="B81" s="312" t="s">
        <v>669</v>
      </c>
      <c r="C81" s="310" t="s">
        <v>563</v>
      </c>
      <c r="D81" s="310" t="s">
        <v>708</v>
      </c>
      <c r="E81" s="312" t="s">
        <v>692</v>
      </c>
      <c r="F81" s="310" t="s">
        <v>46</v>
      </c>
      <c r="G81" s="310"/>
      <c r="H81" s="318">
        <v>44323</v>
      </c>
      <c r="I81" s="318">
        <v>44358</v>
      </c>
      <c r="J81" s="331">
        <f t="shared" si="20"/>
        <v>35</v>
      </c>
      <c r="K81" s="310" t="s">
        <v>370</v>
      </c>
      <c r="L81" s="318">
        <v>44383</v>
      </c>
      <c r="M81" s="318">
        <v>44456</v>
      </c>
      <c r="N81" s="310"/>
      <c r="O81" s="311">
        <f>((M81-L81)/7)/4.3</f>
        <v>2.4252491694352161</v>
      </c>
      <c r="P81" s="311"/>
      <c r="Q81" s="311"/>
      <c r="R81" s="306">
        <v>101240</v>
      </c>
      <c r="S81" s="115">
        <v>0</v>
      </c>
      <c r="T81" s="115">
        <v>0</v>
      </c>
      <c r="U81" s="115">
        <v>0</v>
      </c>
      <c r="V81" s="115">
        <v>0</v>
      </c>
      <c r="W81" s="115">
        <v>0</v>
      </c>
      <c r="X81" s="115">
        <v>0</v>
      </c>
      <c r="Y81" s="115">
        <v>0</v>
      </c>
      <c r="Z81" s="115">
        <v>36103</v>
      </c>
      <c r="AA81" s="115">
        <v>58225</v>
      </c>
      <c r="AB81" s="115">
        <v>0</v>
      </c>
      <c r="AC81" s="115">
        <v>0</v>
      </c>
      <c r="AD81" s="53"/>
      <c r="AE81" s="53"/>
      <c r="AF81" s="53">
        <v>6912</v>
      </c>
      <c r="AG81" s="53"/>
      <c r="AH81" s="47"/>
      <c r="AI81" s="53">
        <f t="shared" si="18"/>
        <v>101240</v>
      </c>
      <c r="AJ81" s="51"/>
      <c r="AK81" s="218">
        <f t="shared" si="19"/>
        <v>0</v>
      </c>
      <c r="AM81" s="55"/>
    </row>
    <row r="82" spans="1:39" s="36" customFormat="1" ht="15.75" x14ac:dyDescent="0.25">
      <c r="A82" s="312" t="s">
        <v>527</v>
      </c>
      <c r="B82" s="313" t="s">
        <v>677</v>
      </c>
      <c r="C82" s="310" t="s">
        <v>563</v>
      </c>
      <c r="D82" s="310" t="s">
        <v>708</v>
      </c>
      <c r="E82" s="312" t="s">
        <v>693</v>
      </c>
      <c r="F82" s="310" t="s">
        <v>237</v>
      </c>
      <c r="G82" s="310"/>
      <c r="H82" s="318">
        <v>44351</v>
      </c>
      <c r="I82" s="318">
        <v>44368</v>
      </c>
      <c r="J82" s="331">
        <f t="shared" si="20"/>
        <v>17</v>
      </c>
      <c r="K82" s="52" t="s">
        <v>370</v>
      </c>
      <c r="L82" s="318">
        <v>44375</v>
      </c>
      <c r="M82" s="310">
        <v>44438</v>
      </c>
      <c r="N82" s="310"/>
      <c r="O82" s="311">
        <f>((M82-L82)/7)/4.3</f>
        <v>2.0930232558139537</v>
      </c>
      <c r="P82" s="311"/>
      <c r="Q82" s="311"/>
      <c r="R82" s="306">
        <v>36900</v>
      </c>
      <c r="S82" s="115">
        <v>0</v>
      </c>
      <c r="T82" s="115">
        <v>0</v>
      </c>
      <c r="U82" s="115">
        <v>0</v>
      </c>
      <c r="V82" s="115">
        <v>0</v>
      </c>
      <c r="W82" s="115">
        <v>0</v>
      </c>
      <c r="X82" s="115">
        <v>0</v>
      </c>
      <c r="Y82" s="115">
        <v>0</v>
      </c>
      <c r="Z82" s="115">
        <v>36900</v>
      </c>
      <c r="AA82" s="115">
        <v>0</v>
      </c>
      <c r="AB82" s="115">
        <v>0</v>
      </c>
      <c r="AC82" s="115">
        <v>0</v>
      </c>
      <c r="AD82" s="53"/>
      <c r="AE82" s="53"/>
      <c r="AF82" s="58">
        <v>0</v>
      </c>
      <c r="AG82" s="58"/>
      <c r="AH82" s="47"/>
      <c r="AI82" s="53">
        <f t="shared" si="18"/>
        <v>36900</v>
      </c>
      <c r="AJ82" s="51"/>
      <c r="AK82" s="218">
        <f t="shared" si="19"/>
        <v>0</v>
      </c>
      <c r="AM82" s="55"/>
    </row>
    <row r="83" spans="1:39" s="36" customFormat="1" ht="15.75" x14ac:dyDescent="0.25">
      <c r="A83" s="62" t="s">
        <v>666</v>
      </c>
      <c r="B83" s="353" t="s">
        <v>741</v>
      </c>
      <c r="C83" s="52" t="s">
        <v>563</v>
      </c>
      <c r="D83" s="52" t="s">
        <v>708</v>
      </c>
      <c r="E83" s="34" t="s">
        <v>690</v>
      </c>
      <c r="F83" s="52" t="s">
        <v>46</v>
      </c>
      <c r="G83" s="52"/>
      <c r="H83" s="330">
        <v>44460</v>
      </c>
      <c r="I83" s="347">
        <v>44484</v>
      </c>
      <c r="J83" s="50">
        <f t="shared" si="20"/>
        <v>24</v>
      </c>
      <c r="K83" s="52" t="s">
        <v>320</v>
      </c>
      <c r="L83" s="330">
        <v>44468</v>
      </c>
      <c r="M83" s="330">
        <v>44477</v>
      </c>
      <c r="N83" s="52"/>
      <c r="O83" s="50">
        <f>((M83-L83)/7)/4.3</f>
        <v>0.29900332225913623</v>
      </c>
      <c r="P83" s="50"/>
      <c r="Q83" s="50"/>
      <c r="R83" s="182">
        <v>19970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15">
        <v>0</v>
      </c>
      <c r="AC83" s="115">
        <v>0</v>
      </c>
      <c r="AD83" s="53"/>
      <c r="AE83" s="53"/>
      <c r="AF83" s="58">
        <v>19970</v>
      </c>
      <c r="AG83" s="58"/>
      <c r="AH83" s="47"/>
      <c r="AI83" s="53">
        <f t="shared" si="18"/>
        <v>19970</v>
      </c>
      <c r="AJ83" s="51"/>
      <c r="AK83" s="218">
        <f t="shared" si="19"/>
        <v>0</v>
      </c>
      <c r="AM83" s="55"/>
    </row>
    <row r="84" spans="1:39" s="36" customFormat="1" ht="15.75" x14ac:dyDescent="0.25">
      <c r="A84" s="93"/>
      <c r="B84" s="94"/>
      <c r="C84" s="91"/>
      <c r="D84" s="91"/>
      <c r="E84" s="94"/>
      <c r="F84" s="91"/>
      <c r="G84" s="91"/>
      <c r="H84" s="91"/>
      <c r="I84" s="91"/>
      <c r="J84" s="92"/>
      <c r="K84" s="91"/>
      <c r="L84" s="91"/>
      <c r="M84" s="91"/>
      <c r="N84" s="91"/>
      <c r="O84" s="92"/>
      <c r="P84" s="92"/>
      <c r="Q84" s="92"/>
      <c r="R84" s="243">
        <f t="shared" ref="R84:AG84" si="21">SUM(R68:R83)</f>
        <v>3406991</v>
      </c>
      <c r="S84" s="59">
        <f t="shared" si="21"/>
        <v>0</v>
      </c>
      <c r="T84" s="59">
        <f t="shared" si="21"/>
        <v>0</v>
      </c>
      <c r="U84" s="59">
        <f t="shared" si="21"/>
        <v>0</v>
      </c>
      <c r="V84" s="59">
        <f t="shared" si="21"/>
        <v>0</v>
      </c>
      <c r="W84" s="59">
        <f t="shared" si="21"/>
        <v>0</v>
      </c>
      <c r="X84" s="59">
        <f t="shared" si="21"/>
        <v>0</v>
      </c>
      <c r="Y84" s="59">
        <f t="shared" si="21"/>
        <v>254115</v>
      </c>
      <c r="Z84" s="59">
        <f t="shared" si="21"/>
        <v>324252</v>
      </c>
      <c r="AA84" s="59">
        <f t="shared" si="21"/>
        <v>392112</v>
      </c>
      <c r="AB84" s="59">
        <f t="shared" si="21"/>
        <v>13768.89</v>
      </c>
      <c r="AC84" s="59">
        <f t="shared" si="21"/>
        <v>283837.17999999993</v>
      </c>
      <c r="AD84" s="59">
        <f t="shared" si="21"/>
        <v>253000</v>
      </c>
      <c r="AE84" s="59">
        <f t="shared" si="21"/>
        <v>221000</v>
      </c>
      <c r="AF84" s="59">
        <f t="shared" si="21"/>
        <v>1655908.11</v>
      </c>
      <c r="AG84" s="59">
        <f t="shared" si="21"/>
        <v>0</v>
      </c>
      <c r="AH84" s="47"/>
      <c r="AI84" s="53">
        <f t="shared" si="18"/>
        <v>3397993.1799999997</v>
      </c>
      <c r="AJ84" s="51"/>
      <c r="AK84" s="218">
        <f t="shared" si="19"/>
        <v>-9000</v>
      </c>
    </row>
    <row r="85" spans="1:39" s="36" customFormat="1" ht="15.75" x14ac:dyDescent="0.25">
      <c r="A85" s="106" t="s">
        <v>667</v>
      </c>
      <c r="B85" s="107"/>
      <c r="C85" s="101" t="s">
        <v>563</v>
      </c>
      <c r="D85" s="102"/>
      <c r="E85" s="107"/>
      <c r="F85" s="102"/>
      <c r="G85" s="102"/>
      <c r="H85" s="276"/>
      <c r="I85" s="276"/>
      <c r="J85" s="84"/>
      <c r="K85" s="102"/>
      <c r="L85" s="102"/>
      <c r="M85" s="102"/>
      <c r="N85" s="102"/>
      <c r="O85" s="84"/>
      <c r="P85" s="84"/>
      <c r="Q85" s="84"/>
      <c r="R85" s="193"/>
      <c r="S85" s="85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47"/>
      <c r="AI85" s="85"/>
      <c r="AJ85" s="51"/>
      <c r="AK85" s="218">
        <f t="shared" si="19"/>
        <v>0</v>
      </c>
    </row>
    <row r="86" spans="1:39" s="36" customFormat="1" ht="15.75" x14ac:dyDescent="0.25">
      <c r="A86" s="113" t="s">
        <v>224</v>
      </c>
      <c r="B86" s="186" t="s">
        <v>680</v>
      </c>
      <c r="C86" s="52" t="s">
        <v>664</v>
      </c>
      <c r="D86" s="52" t="s">
        <v>665</v>
      </c>
      <c r="E86" s="35" t="s">
        <v>689</v>
      </c>
      <c r="F86" s="52" t="s">
        <v>46</v>
      </c>
      <c r="G86" s="52"/>
      <c r="H86" s="330">
        <v>44365</v>
      </c>
      <c r="I86" s="347">
        <v>44484</v>
      </c>
      <c r="J86" s="50">
        <f>I86-H86</f>
        <v>119</v>
      </c>
      <c r="K86" s="52" t="s">
        <v>320</v>
      </c>
      <c r="L86" s="52">
        <f>I86+15</f>
        <v>44499</v>
      </c>
      <c r="M86" s="52">
        <v>44687.8</v>
      </c>
      <c r="N86" s="52"/>
      <c r="O86" s="88">
        <f>((M86-L86)/7)/4.3</f>
        <v>6.2724252491695323</v>
      </c>
      <c r="P86" s="88"/>
      <c r="Q86" s="88"/>
      <c r="R86" s="53">
        <v>2015533</v>
      </c>
      <c r="S86" s="115">
        <v>0</v>
      </c>
      <c r="T86" s="115">
        <v>0</v>
      </c>
      <c r="U86" s="115">
        <v>0</v>
      </c>
      <c r="V86" s="115">
        <v>0</v>
      </c>
      <c r="W86" s="115">
        <v>0</v>
      </c>
      <c r="X86" s="115">
        <v>0</v>
      </c>
      <c r="Y86" s="115">
        <v>0</v>
      </c>
      <c r="Z86" s="115">
        <v>0</v>
      </c>
      <c r="AA86" s="115">
        <v>141412</v>
      </c>
      <c r="AB86" s="115">
        <v>0</v>
      </c>
      <c r="AC86" s="115">
        <v>0</v>
      </c>
      <c r="AD86" s="275">
        <v>400000</v>
      </c>
      <c r="AE86" s="275">
        <v>500000</v>
      </c>
      <c r="AF86" s="275">
        <v>674121</v>
      </c>
      <c r="AG86" s="53"/>
      <c r="AH86" s="47"/>
      <c r="AI86" s="53">
        <f>SUM(S86:AH86)</f>
        <v>1715533</v>
      </c>
      <c r="AJ86" s="51"/>
      <c r="AK86" s="218">
        <f t="shared" si="19"/>
        <v>-300000</v>
      </c>
      <c r="AM86" s="55"/>
    </row>
    <row r="87" spans="1:39" s="36" customFormat="1" ht="15.75" x14ac:dyDescent="0.25">
      <c r="A87" s="93"/>
      <c r="B87" s="94"/>
      <c r="C87" s="91"/>
      <c r="D87" s="91"/>
      <c r="E87" s="94"/>
      <c r="F87" s="91"/>
      <c r="G87" s="91"/>
      <c r="H87" s="91"/>
      <c r="I87" s="91"/>
      <c r="J87" s="92"/>
      <c r="K87" s="91"/>
      <c r="L87" s="91"/>
      <c r="M87" s="91"/>
      <c r="N87" s="91"/>
      <c r="O87" s="92"/>
      <c r="P87" s="92"/>
      <c r="Q87" s="92"/>
      <c r="R87" s="59">
        <f>SUM(R86)</f>
        <v>2015533</v>
      </c>
      <c r="S87" s="59">
        <f t="shared" ref="S87:AG87" si="22">SUM(S86)</f>
        <v>0</v>
      </c>
      <c r="T87" s="59">
        <f t="shared" si="22"/>
        <v>0</v>
      </c>
      <c r="U87" s="59">
        <f t="shared" si="22"/>
        <v>0</v>
      </c>
      <c r="V87" s="59">
        <f t="shared" si="22"/>
        <v>0</v>
      </c>
      <c r="W87" s="59">
        <f t="shared" si="22"/>
        <v>0</v>
      </c>
      <c r="X87" s="59">
        <f t="shared" si="22"/>
        <v>0</v>
      </c>
      <c r="Y87" s="59">
        <f t="shared" si="22"/>
        <v>0</v>
      </c>
      <c r="Z87" s="59">
        <f t="shared" si="22"/>
        <v>0</v>
      </c>
      <c r="AA87" s="59">
        <f t="shared" si="22"/>
        <v>141412</v>
      </c>
      <c r="AB87" s="59">
        <f t="shared" si="22"/>
        <v>0</v>
      </c>
      <c r="AC87" s="59">
        <f t="shared" si="22"/>
        <v>0</v>
      </c>
      <c r="AD87" s="59">
        <f t="shared" si="22"/>
        <v>400000</v>
      </c>
      <c r="AE87" s="59">
        <f t="shared" si="22"/>
        <v>500000</v>
      </c>
      <c r="AF87" s="59">
        <f t="shared" si="22"/>
        <v>674121</v>
      </c>
      <c r="AG87" s="59">
        <f t="shared" si="22"/>
        <v>0</v>
      </c>
      <c r="AH87" s="47"/>
      <c r="AI87" s="53">
        <f>SUM(S87:AH87)</f>
        <v>1715533</v>
      </c>
      <c r="AJ87" s="51"/>
      <c r="AK87" s="218">
        <f t="shared" si="19"/>
        <v>-300000</v>
      </c>
    </row>
    <row r="88" spans="1:39" s="36" customFormat="1" ht="15.75" x14ac:dyDescent="0.25">
      <c r="A88" s="106" t="s">
        <v>623</v>
      </c>
      <c r="B88" s="107"/>
      <c r="C88" s="101"/>
      <c r="D88" s="102"/>
      <c r="E88" s="107"/>
      <c r="F88" s="102"/>
      <c r="G88" s="102"/>
      <c r="H88" s="276"/>
      <c r="I88" s="276"/>
      <c r="J88" s="84"/>
      <c r="K88" s="102"/>
      <c r="L88" s="102"/>
      <c r="M88" s="102"/>
      <c r="N88" s="102"/>
      <c r="O88" s="84"/>
      <c r="P88" s="84"/>
      <c r="Q88" s="84"/>
      <c r="R88" s="193"/>
      <c r="S88" s="85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47"/>
      <c r="AI88" s="85"/>
      <c r="AJ88" s="51"/>
      <c r="AK88" s="218">
        <f t="shared" si="19"/>
        <v>0</v>
      </c>
    </row>
    <row r="89" spans="1:39" s="36" customFormat="1" ht="15.75" x14ac:dyDescent="0.25">
      <c r="A89" s="113" t="s">
        <v>541</v>
      </c>
      <c r="B89" s="186" t="s">
        <v>542</v>
      </c>
      <c r="C89" s="52" t="s">
        <v>368</v>
      </c>
      <c r="D89" s="52" t="s">
        <v>402</v>
      </c>
      <c r="E89" s="114" t="s">
        <v>643</v>
      </c>
      <c r="F89" s="52" t="s">
        <v>623</v>
      </c>
      <c r="G89" s="52"/>
      <c r="H89" s="347">
        <v>44484</v>
      </c>
      <c r="I89" s="52">
        <v>44515</v>
      </c>
      <c r="J89" s="50">
        <f t="shared" ref="J89:J110" si="23">I89-H89</f>
        <v>31</v>
      </c>
      <c r="K89" s="52" t="s">
        <v>320</v>
      </c>
      <c r="L89" s="52">
        <f>I89+30</f>
        <v>44545</v>
      </c>
      <c r="M89" s="52"/>
      <c r="N89" s="52"/>
      <c r="O89" s="50">
        <f t="shared" ref="O89:O104" si="24">((M89-L89)/7)/4.3</f>
        <v>-1479.9003322259136</v>
      </c>
      <c r="P89" s="50"/>
      <c r="Q89" s="50"/>
      <c r="R89" s="53">
        <v>1900000</v>
      </c>
      <c r="S89" s="115">
        <v>0</v>
      </c>
      <c r="T89" s="115">
        <v>0</v>
      </c>
      <c r="U89" s="115">
        <v>0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115">
        <v>0</v>
      </c>
      <c r="AB89" s="115">
        <v>0</v>
      </c>
      <c r="AC89" s="115">
        <v>0</v>
      </c>
      <c r="AD89" s="58"/>
      <c r="AE89" s="275">
        <v>200000</v>
      </c>
      <c r="AF89" s="275">
        <v>1700000</v>
      </c>
      <c r="AG89" s="53"/>
      <c r="AH89" s="47"/>
      <c r="AI89" s="53">
        <f t="shared" ref="AI89:AI104" si="25">SUM(S89:AH89)</f>
        <v>1900000</v>
      </c>
      <c r="AJ89" s="51"/>
      <c r="AK89" s="218">
        <f t="shared" si="19"/>
        <v>0</v>
      </c>
    </row>
    <row r="90" spans="1:39" s="36" customFormat="1" ht="15.75" x14ac:dyDescent="0.25">
      <c r="A90" s="113" t="s">
        <v>191</v>
      </c>
      <c r="B90" s="114" t="s">
        <v>192</v>
      </c>
      <c r="C90" s="52" t="s">
        <v>45</v>
      </c>
      <c r="D90" s="52" t="s">
        <v>45</v>
      </c>
      <c r="E90" s="114" t="s">
        <v>193</v>
      </c>
      <c r="F90" s="52" t="s">
        <v>623</v>
      </c>
      <c r="G90" s="52"/>
      <c r="H90" s="299">
        <v>44564</v>
      </c>
      <c r="I90" s="87">
        <v>44591</v>
      </c>
      <c r="J90" s="50">
        <f t="shared" si="23"/>
        <v>27</v>
      </c>
      <c r="K90" s="52" t="s">
        <v>320</v>
      </c>
      <c r="L90" s="52">
        <v>44927</v>
      </c>
      <c r="M90" s="52">
        <v>44831</v>
      </c>
      <c r="N90" s="52"/>
      <c r="O90" s="50">
        <f t="shared" si="24"/>
        <v>-3.1893687707641196</v>
      </c>
      <c r="P90" s="50"/>
      <c r="Q90" s="50"/>
      <c r="R90" s="53">
        <v>4000000</v>
      </c>
      <c r="S90" s="115">
        <v>0</v>
      </c>
      <c r="T90" s="115">
        <v>0</v>
      </c>
      <c r="U90" s="115">
        <v>0</v>
      </c>
      <c r="V90" s="115">
        <v>0</v>
      </c>
      <c r="W90" s="115">
        <v>0</v>
      </c>
      <c r="X90" s="115">
        <v>0</v>
      </c>
      <c r="Y90" s="115">
        <v>0</v>
      </c>
      <c r="Z90" s="115">
        <v>0</v>
      </c>
      <c r="AA90" s="115">
        <v>0</v>
      </c>
      <c r="AB90" s="115">
        <v>0</v>
      </c>
      <c r="AC90" s="115">
        <v>0</v>
      </c>
      <c r="AD90" s="58"/>
      <c r="AE90" s="58"/>
      <c r="AF90" s="58"/>
      <c r="AG90" s="275">
        <v>4000000</v>
      </c>
      <c r="AH90" s="47"/>
      <c r="AI90" s="53">
        <f t="shared" si="25"/>
        <v>4000000</v>
      </c>
      <c r="AJ90" s="51"/>
      <c r="AK90" s="218">
        <f t="shared" si="19"/>
        <v>0</v>
      </c>
    </row>
    <row r="91" spans="1:39" s="36" customFormat="1" ht="15.75" x14ac:dyDescent="0.25">
      <c r="A91" s="113" t="s">
        <v>194</v>
      </c>
      <c r="B91" s="35" t="s">
        <v>609</v>
      </c>
      <c r="C91" s="52" t="s">
        <v>45</v>
      </c>
      <c r="D91" s="52" t="s">
        <v>45</v>
      </c>
      <c r="E91" s="35" t="s">
        <v>196</v>
      </c>
      <c r="F91" s="52" t="s">
        <v>623</v>
      </c>
      <c r="G91" s="52"/>
      <c r="H91" s="299">
        <v>44564</v>
      </c>
      <c r="I91" s="52">
        <v>44607</v>
      </c>
      <c r="J91" s="50">
        <f t="shared" si="23"/>
        <v>43</v>
      </c>
      <c r="K91" s="52" t="s">
        <v>320</v>
      </c>
      <c r="L91" s="52">
        <v>44593</v>
      </c>
      <c r="M91" s="52">
        <v>44817</v>
      </c>
      <c r="N91" s="52"/>
      <c r="O91" s="50">
        <f t="shared" si="24"/>
        <v>7.441860465116279</v>
      </c>
      <c r="P91" s="50"/>
      <c r="Q91" s="50"/>
      <c r="R91" s="53">
        <v>2200000</v>
      </c>
      <c r="S91" s="115">
        <v>0</v>
      </c>
      <c r="T91" s="115">
        <v>0</v>
      </c>
      <c r="U91" s="115">
        <v>0</v>
      </c>
      <c r="V91" s="115">
        <v>0</v>
      </c>
      <c r="W91" s="115">
        <v>0</v>
      </c>
      <c r="X91" s="115">
        <v>0</v>
      </c>
      <c r="Y91" s="115">
        <v>0</v>
      </c>
      <c r="Z91" s="115">
        <v>0</v>
      </c>
      <c r="AA91" s="115">
        <v>0</v>
      </c>
      <c r="AB91" s="115">
        <v>0</v>
      </c>
      <c r="AC91" s="115">
        <v>0</v>
      </c>
      <c r="AD91" s="53"/>
      <c r="AE91" s="53"/>
      <c r="AF91" s="275">
        <v>2200000</v>
      </c>
      <c r="AG91" s="53"/>
      <c r="AH91" s="47"/>
      <c r="AI91" s="53">
        <f t="shared" si="25"/>
        <v>2200000</v>
      </c>
      <c r="AJ91" s="51"/>
      <c r="AK91" s="218">
        <f t="shared" si="19"/>
        <v>0</v>
      </c>
      <c r="AM91" s="55"/>
    </row>
    <row r="92" spans="1:39" s="36" customFormat="1" ht="15.75" x14ac:dyDescent="0.25">
      <c r="A92" s="113" t="s">
        <v>647</v>
      </c>
      <c r="B92" s="114" t="s">
        <v>604</v>
      </c>
      <c r="C92" s="52" t="s">
        <v>568</v>
      </c>
      <c r="D92" s="52" t="s">
        <v>630</v>
      </c>
      <c r="E92" s="114" t="s">
        <v>684</v>
      </c>
      <c r="F92" s="52" t="s">
        <v>623</v>
      </c>
      <c r="G92" s="52"/>
      <c r="H92" s="52">
        <v>44564</v>
      </c>
      <c r="I92" s="52">
        <v>44574</v>
      </c>
      <c r="J92" s="50">
        <f t="shared" si="23"/>
        <v>10</v>
      </c>
      <c r="K92" s="52" t="s">
        <v>320</v>
      </c>
      <c r="L92" s="52">
        <f>I92+30</f>
        <v>44604</v>
      </c>
      <c r="M92" s="52"/>
      <c r="N92" s="52"/>
      <c r="O92" s="50">
        <f t="shared" si="24"/>
        <v>-1481.8604651162791</v>
      </c>
      <c r="P92" s="50"/>
      <c r="Q92" s="50"/>
      <c r="R92" s="189">
        <v>980000</v>
      </c>
      <c r="S92" s="115">
        <v>0</v>
      </c>
      <c r="T92" s="115">
        <v>0</v>
      </c>
      <c r="U92" s="115">
        <v>0</v>
      </c>
      <c r="V92" s="115">
        <v>0</v>
      </c>
      <c r="W92" s="115">
        <v>0</v>
      </c>
      <c r="X92" s="115">
        <v>0</v>
      </c>
      <c r="Y92" s="115">
        <v>0</v>
      </c>
      <c r="Z92" s="115">
        <v>0</v>
      </c>
      <c r="AA92" s="115">
        <v>0</v>
      </c>
      <c r="AB92" s="115">
        <v>0</v>
      </c>
      <c r="AC92" s="115">
        <v>0</v>
      </c>
      <c r="AD92" s="53"/>
      <c r="AE92" s="53"/>
      <c r="AF92" s="275">
        <v>980000</v>
      </c>
      <c r="AG92" s="53"/>
      <c r="AH92" s="47"/>
      <c r="AI92" s="53">
        <f t="shared" si="25"/>
        <v>980000</v>
      </c>
      <c r="AJ92" s="51"/>
      <c r="AK92" s="218">
        <f t="shared" si="19"/>
        <v>0</v>
      </c>
    </row>
    <row r="93" spans="1:39" s="36" customFormat="1" ht="15.75" x14ac:dyDescent="0.25">
      <c r="A93" s="113" t="s">
        <v>648</v>
      </c>
      <c r="B93" s="114" t="s">
        <v>605</v>
      </c>
      <c r="C93" s="52" t="s">
        <v>568</v>
      </c>
      <c r="D93" s="52" t="s">
        <v>630</v>
      </c>
      <c r="E93" s="114" t="s">
        <v>684</v>
      </c>
      <c r="F93" s="52" t="s">
        <v>623</v>
      </c>
      <c r="G93" s="52"/>
      <c r="H93" s="52">
        <v>44564</v>
      </c>
      <c r="I93" s="52">
        <v>44592</v>
      </c>
      <c r="J93" s="50">
        <f t="shared" si="23"/>
        <v>28</v>
      </c>
      <c r="K93" s="52" t="s">
        <v>320</v>
      </c>
      <c r="L93" s="52">
        <f t="shared" ref="L93:L120" si="26">I93+30</f>
        <v>44622</v>
      </c>
      <c r="M93" s="52"/>
      <c r="N93" s="52"/>
      <c r="O93" s="50">
        <f t="shared" si="24"/>
        <v>-1482.4584717607975</v>
      </c>
      <c r="P93" s="50"/>
      <c r="Q93" s="50"/>
      <c r="R93" s="189">
        <v>1558000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15">
        <v>0</v>
      </c>
      <c r="Y93" s="115">
        <v>0</v>
      </c>
      <c r="Z93" s="115">
        <v>0</v>
      </c>
      <c r="AA93" s="115">
        <v>0</v>
      </c>
      <c r="AB93" s="115">
        <v>0</v>
      </c>
      <c r="AC93" s="115">
        <v>0</v>
      </c>
      <c r="AD93" s="53"/>
      <c r="AE93" s="53"/>
      <c r="AF93" s="275">
        <v>1558000</v>
      </c>
      <c r="AG93" s="53"/>
      <c r="AH93" s="47"/>
      <c r="AI93" s="53">
        <f t="shared" si="25"/>
        <v>1558000</v>
      </c>
      <c r="AJ93" s="51"/>
      <c r="AK93" s="218">
        <f t="shared" si="19"/>
        <v>0</v>
      </c>
    </row>
    <row r="94" spans="1:39" s="36" customFormat="1" ht="15.75" x14ac:dyDescent="0.25">
      <c r="A94" s="113" t="s">
        <v>649</v>
      </c>
      <c r="B94" s="186" t="s">
        <v>606</v>
      </c>
      <c r="C94" s="52" t="s">
        <v>568</v>
      </c>
      <c r="D94" s="52" t="s">
        <v>630</v>
      </c>
      <c r="E94" s="114" t="s">
        <v>684</v>
      </c>
      <c r="F94" s="52" t="s">
        <v>623</v>
      </c>
      <c r="G94" s="52"/>
      <c r="H94" s="347">
        <v>44484</v>
      </c>
      <c r="I94" s="52">
        <v>44515</v>
      </c>
      <c r="J94" s="50">
        <f t="shared" si="23"/>
        <v>31</v>
      </c>
      <c r="K94" s="52" t="s">
        <v>320</v>
      </c>
      <c r="L94" s="52">
        <f t="shared" si="26"/>
        <v>44545</v>
      </c>
      <c r="M94" s="52"/>
      <c r="N94" s="52"/>
      <c r="O94" s="50">
        <f t="shared" si="24"/>
        <v>-1479.9003322259136</v>
      </c>
      <c r="P94" s="50"/>
      <c r="Q94" s="50"/>
      <c r="R94" s="189">
        <v>540000</v>
      </c>
      <c r="S94" s="115">
        <v>0</v>
      </c>
      <c r="T94" s="115">
        <v>0</v>
      </c>
      <c r="U94" s="115">
        <v>0</v>
      </c>
      <c r="V94" s="115">
        <v>0</v>
      </c>
      <c r="W94" s="115">
        <v>0</v>
      </c>
      <c r="X94" s="115">
        <v>0</v>
      </c>
      <c r="Y94" s="115">
        <v>0</v>
      </c>
      <c r="Z94" s="115">
        <v>0</v>
      </c>
      <c r="AA94" s="115">
        <v>0</v>
      </c>
      <c r="AB94" s="115">
        <v>0</v>
      </c>
      <c r="AC94" s="115">
        <v>0</v>
      </c>
      <c r="AD94" s="53"/>
      <c r="AE94" s="53"/>
      <c r="AF94" s="275">
        <v>540000</v>
      </c>
      <c r="AG94" s="53"/>
      <c r="AH94" s="47"/>
      <c r="AI94" s="53">
        <f t="shared" si="25"/>
        <v>540000</v>
      </c>
      <c r="AJ94" s="51"/>
      <c r="AK94" s="218">
        <f t="shared" si="19"/>
        <v>0</v>
      </c>
    </row>
    <row r="95" spans="1:39" s="36" customFormat="1" ht="15.75" x14ac:dyDescent="0.25">
      <c r="A95" s="113" t="s">
        <v>650</v>
      </c>
      <c r="B95" s="114" t="s">
        <v>607</v>
      </c>
      <c r="C95" s="52" t="s">
        <v>568</v>
      </c>
      <c r="D95" s="52" t="s">
        <v>630</v>
      </c>
      <c r="E95" s="114" t="s">
        <v>684</v>
      </c>
      <c r="F95" s="52" t="s">
        <v>623</v>
      </c>
      <c r="G95" s="52"/>
      <c r="H95" s="52">
        <v>44564</v>
      </c>
      <c r="I95" s="52">
        <v>44592</v>
      </c>
      <c r="J95" s="50">
        <f t="shared" si="23"/>
        <v>28</v>
      </c>
      <c r="K95" s="52" t="s">
        <v>320</v>
      </c>
      <c r="L95" s="52">
        <f t="shared" si="26"/>
        <v>44622</v>
      </c>
      <c r="M95" s="52"/>
      <c r="N95" s="52"/>
      <c r="O95" s="50">
        <f t="shared" si="24"/>
        <v>-1482.4584717607975</v>
      </c>
      <c r="P95" s="50"/>
      <c r="Q95" s="50"/>
      <c r="R95" s="189">
        <v>800000</v>
      </c>
      <c r="S95" s="115">
        <v>0</v>
      </c>
      <c r="T95" s="115">
        <v>0</v>
      </c>
      <c r="U95" s="115">
        <v>0</v>
      </c>
      <c r="V95" s="115">
        <v>0</v>
      </c>
      <c r="W95" s="115">
        <v>0</v>
      </c>
      <c r="X95" s="115">
        <v>0</v>
      </c>
      <c r="Y95" s="115">
        <v>0</v>
      </c>
      <c r="Z95" s="115">
        <v>0</v>
      </c>
      <c r="AA95" s="115">
        <v>0</v>
      </c>
      <c r="AB95" s="115">
        <v>0</v>
      </c>
      <c r="AC95" s="115">
        <v>0</v>
      </c>
      <c r="AD95" s="53"/>
      <c r="AE95" s="53"/>
      <c r="AF95" s="275">
        <v>800000</v>
      </c>
      <c r="AG95" s="53"/>
      <c r="AH95" s="47"/>
      <c r="AI95" s="53">
        <f t="shared" si="25"/>
        <v>800000</v>
      </c>
      <c r="AJ95" s="51"/>
      <c r="AK95" s="218">
        <f t="shared" si="19"/>
        <v>0</v>
      </c>
    </row>
    <row r="96" spans="1:39" s="36" customFormat="1" ht="15.75" x14ac:dyDescent="0.25">
      <c r="A96" s="113" t="s">
        <v>651</v>
      </c>
      <c r="B96" s="114" t="s">
        <v>608</v>
      </c>
      <c r="C96" s="52" t="s">
        <v>568</v>
      </c>
      <c r="D96" s="52" t="s">
        <v>630</v>
      </c>
      <c r="E96" s="114" t="s">
        <v>684</v>
      </c>
      <c r="F96" s="52" t="s">
        <v>623</v>
      </c>
      <c r="G96" s="52"/>
      <c r="H96" s="52">
        <v>44564</v>
      </c>
      <c r="I96" s="52">
        <v>44592</v>
      </c>
      <c r="J96" s="50">
        <f t="shared" si="23"/>
        <v>28</v>
      </c>
      <c r="K96" s="52" t="s">
        <v>320</v>
      </c>
      <c r="L96" s="52">
        <f t="shared" si="26"/>
        <v>44622</v>
      </c>
      <c r="M96" s="52"/>
      <c r="N96" s="52"/>
      <c r="O96" s="50">
        <f t="shared" si="24"/>
        <v>-1482.4584717607975</v>
      </c>
      <c r="P96" s="50"/>
      <c r="Q96" s="50"/>
      <c r="R96" s="189">
        <v>690000</v>
      </c>
      <c r="S96" s="115">
        <v>0</v>
      </c>
      <c r="T96" s="115">
        <v>0</v>
      </c>
      <c r="U96" s="115">
        <v>0</v>
      </c>
      <c r="V96" s="115">
        <v>0</v>
      </c>
      <c r="W96" s="115">
        <v>0</v>
      </c>
      <c r="X96" s="115">
        <v>0</v>
      </c>
      <c r="Y96" s="115">
        <v>0</v>
      </c>
      <c r="Z96" s="115">
        <v>0</v>
      </c>
      <c r="AA96" s="115">
        <v>0</v>
      </c>
      <c r="AB96" s="115">
        <v>0</v>
      </c>
      <c r="AC96" s="115">
        <v>0</v>
      </c>
      <c r="AD96" s="53"/>
      <c r="AE96" s="53"/>
      <c r="AF96" s="275">
        <v>690000</v>
      </c>
      <c r="AG96" s="53"/>
      <c r="AH96" s="47"/>
      <c r="AI96" s="53">
        <f t="shared" si="25"/>
        <v>690000</v>
      </c>
      <c r="AJ96" s="51"/>
      <c r="AK96" s="218">
        <f t="shared" si="19"/>
        <v>0</v>
      </c>
    </row>
    <row r="97" spans="1:39" s="36" customFormat="1" ht="15.75" x14ac:dyDescent="0.25">
      <c r="A97" s="113" t="s">
        <v>206</v>
      </c>
      <c r="B97" s="35" t="s">
        <v>207</v>
      </c>
      <c r="C97" s="52" t="s">
        <v>45</v>
      </c>
      <c r="D97" s="52" t="s">
        <v>45</v>
      </c>
      <c r="E97" s="35"/>
      <c r="F97" s="52" t="s">
        <v>623</v>
      </c>
      <c r="G97" s="52"/>
      <c r="H97" s="299">
        <v>44564</v>
      </c>
      <c r="I97" s="87">
        <v>44593</v>
      </c>
      <c r="J97" s="50">
        <f t="shared" si="23"/>
        <v>29</v>
      </c>
      <c r="K97" s="52" t="s">
        <v>320</v>
      </c>
      <c r="L97" s="52">
        <f t="shared" si="26"/>
        <v>44623</v>
      </c>
      <c r="M97" s="52"/>
      <c r="N97" s="52"/>
      <c r="O97" s="50">
        <f t="shared" si="24"/>
        <v>-1482.4916943521594</v>
      </c>
      <c r="P97" s="50"/>
      <c r="Q97" s="50"/>
      <c r="R97" s="53">
        <v>2500000</v>
      </c>
      <c r="S97" s="115">
        <v>0</v>
      </c>
      <c r="T97" s="115">
        <v>0</v>
      </c>
      <c r="U97" s="115">
        <v>0</v>
      </c>
      <c r="V97" s="115">
        <v>0</v>
      </c>
      <c r="W97" s="115">
        <v>0</v>
      </c>
      <c r="X97" s="115">
        <v>0</v>
      </c>
      <c r="Y97" s="115">
        <v>0</v>
      </c>
      <c r="Z97" s="115">
        <v>0</v>
      </c>
      <c r="AA97" s="115">
        <v>0</v>
      </c>
      <c r="AB97" s="115">
        <v>0</v>
      </c>
      <c r="AC97" s="115">
        <v>0</v>
      </c>
      <c r="AD97" s="53"/>
      <c r="AE97" s="53"/>
      <c r="AF97" s="275">
        <v>2500000</v>
      </c>
      <c r="AG97" s="53"/>
      <c r="AH97" s="47"/>
      <c r="AI97" s="53">
        <f t="shared" si="25"/>
        <v>2500000</v>
      </c>
      <c r="AJ97" s="51"/>
      <c r="AK97" s="218">
        <f t="shared" si="19"/>
        <v>0</v>
      </c>
      <c r="AM97" s="55"/>
    </row>
    <row r="98" spans="1:39" s="36" customFormat="1" ht="15.75" x14ac:dyDescent="0.25">
      <c r="A98" s="113" t="s">
        <v>208</v>
      </c>
      <c r="B98" s="186" t="s">
        <v>480</v>
      </c>
      <c r="C98" s="52" t="s">
        <v>45</v>
      </c>
      <c r="D98" s="52" t="s">
        <v>45</v>
      </c>
      <c r="E98" s="35" t="s">
        <v>694</v>
      </c>
      <c r="F98" s="52" t="s">
        <v>623</v>
      </c>
      <c r="G98" s="52"/>
      <c r="H98" s="348">
        <v>44484</v>
      </c>
      <c r="I98" s="87">
        <f>H98+30</f>
        <v>44514</v>
      </c>
      <c r="J98" s="50">
        <f t="shared" si="23"/>
        <v>30</v>
      </c>
      <c r="K98" s="52" t="s">
        <v>320</v>
      </c>
      <c r="L98" s="52">
        <v>44521</v>
      </c>
      <c r="M98" s="52"/>
      <c r="N98" s="52"/>
      <c r="O98" s="50">
        <f t="shared" si="24"/>
        <v>-1479.1029900332226</v>
      </c>
      <c r="P98" s="50"/>
      <c r="Q98" s="50"/>
      <c r="R98" s="53">
        <v>2200000</v>
      </c>
      <c r="S98" s="115">
        <v>0</v>
      </c>
      <c r="T98" s="115">
        <v>0</v>
      </c>
      <c r="U98" s="115">
        <v>0</v>
      </c>
      <c r="V98" s="115">
        <v>0</v>
      </c>
      <c r="W98" s="115">
        <v>0</v>
      </c>
      <c r="X98" s="115">
        <v>0</v>
      </c>
      <c r="Y98" s="115">
        <v>0</v>
      </c>
      <c r="Z98" s="115">
        <v>0</v>
      </c>
      <c r="AA98" s="115">
        <v>0</v>
      </c>
      <c r="AB98" s="115">
        <v>0</v>
      </c>
      <c r="AC98" s="115">
        <v>0</v>
      </c>
      <c r="AD98" s="275">
        <v>150000</v>
      </c>
      <c r="AE98" s="275">
        <v>250000</v>
      </c>
      <c r="AF98" s="275">
        <v>1800000</v>
      </c>
      <c r="AG98" s="53"/>
      <c r="AH98" s="47"/>
      <c r="AI98" s="53">
        <f t="shared" si="25"/>
        <v>2200000</v>
      </c>
      <c r="AJ98" s="51"/>
      <c r="AK98" s="218">
        <f t="shared" si="19"/>
        <v>0</v>
      </c>
      <c r="AM98" s="55"/>
    </row>
    <row r="99" spans="1:39" s="36" customFormat="1" ht="15.75" x14ac:dyDescent="0.25">
      <c r="A99" s="113" t="s">
        <v>593</v>
      </c>
      <c r="B99" s="186" t="s">
        <v>596</v>
      </c>
      <c r="C99" s="52" t="s">
        <v>568</v>
      </c>
      <c r="D99" s="52" t="s">
        <v>401</v>
      </c>
      <c r="E99" s="113" t="s">
        <v>695</v>
      </c>
      <c r="F99" s="52" t="s">
        <v>623</v>
      </c>
      <c r="G99" s="52"/>
      <c r="H99" s="347">
        <v>44488</v>
      </c>
      <c r="I99" s="52">
        <v>44501</v>
      </c>
      <c r="J99" s="50">
        <f t="shared" si="23"/>
        <v>13</v>
      </c>
      <c r="K99" s="52" t="s">
        <v>320</v>
      </c>
      <c r="L99" s="52">
        <v>44515</v>
      </c>
      <c r="M99" s="52"/>
      <c r="N99" s="52">
        <v>44713</v>
      </c>
      <c r="O99" s="50">
        <f t="shared" si="24"/>
        <v>-1478.9036544850501</v>
      </c>
      <c r="P99" s="50"/>
      <c r="Q99" s="50"/>
      <c r="R99" s="53">
        <v>1325000</v>
      </c>
      <c r="S99" s="115">
        <v>0</v>
      </c>
      <c r="T99" s="115">
        <v>0</v>
      </c>
      <c r="U99" s="115">
        <v>0</v>
      </c>
      <c r="V99" s="115">
        <v>0</v>
      </c>
      <c r="W99" s="115">
        <v>0</v>
      </c>
      <c r="X99" s="115">
        <v>0</v>
      </c>
      <c r="Y99" s="115">
        <v>0</v>
      </c>
      <c r="Z99" s="115">
        <v>0</v>
      </c>
      <c r="AA99" s="115">
        <v>0</v>
      </c>
      <c r="AB99" s="115">
        <v>0</v>
      </c>
      <c r="AC99" s="115">
        <v>0</v>
      </c>
      <c r="AD99" s="53"/>
      <c r="AE99" s="275">
        <v>100000</v>
      </c>
      <c r="AF99" s="275">
        <v>1225000</v>
      </c>
      <c r="AG99" s="53"/>
      <c r="AH99" s="47"/>
      <c r="AI99" s="53">
        <f t="shared" si="25"/>
        <v>1325000</v>
      </c>
      <c r="AJ99" s="51"/>
      <c r="AK99" s="218">
        <f t="shared" si="19"/>
        <v>0</v>
      </c>
    </row>
    <row r="100" spans="1:39" s="36" customFormat="1" ht="15.75" x14ac:dyDescent="0.25">
      <c r="A100" s="113" t="s">
        <v>591</v>
      </c>
      <c r="B100" s="35" t="s">
        <v>592</v>
      </c>
      <c r="C100" s="52" t="s">
        <v>45</v>
      </c>
      <c r="D100" s="52" t="s">
        <v>45</v>
      </c>
      <c r="E100" s="35" t="s">
        <v>698</v>
      </c>
      <c r="F100" s="52" t="s">
        <v>623</v>
      </c>
      <c r="G100" s="52"/>
      <c r="H100" s="52">
        <v>44531</v>
      </c>
      <c r="I100" s="52">
        <v>44576</v>
      </c>
      <c r="J100" s="50">
        <f t="shared" si="23"/>
        <v>45</v>
      </c>
      <c r="K100" s="52" t="s">
        <v>320</v>
      </c>
      <c r="L100" s="52">
        <f t="shared" si="26"/>
        <v>44606</v>
      </c>
      <c r="M100" s="52"/>
      <c r="N100" s="52"/>
      <c r="O100" s="50">
        <f t="shared" si="24"/>
        <v>-1481.9269102990036</v>
      </c>
      <c r="P100" s="50"/>
      <c r="Q100" s="50"/>
      <c r="R100" s="53">
        <v>400000</v>
      </c>
      <c r="S100" s="115">
        <v>0</v>
      </c>
      <c r="T100" s="115">
        <v>0</v>
      </c>
      <c r="U100" s="115">
        <v>0</v>
      </c>
      <c r="V100" s="115">
        <v>0</v>
      </c>
      <c r="W100" s="115">
        <v>0</v>
      </c>
      <c r="X100" s="115">
        <v>0</v>
      </c>
      <c r="Y100" s="115">
        <v>0</v>
      </c>
      <c r="Z100" s="115">
        <v>0</v>
      </c>
      <c r="AA100" s="115">
        <v>0</v>
      </c>
      <c r="AB100" s="115">
        <v>0</v>
      </c>
      <c r="AC100" s="115">
        <v>0</v>
      </c>
      <c r="AD100" s="275">
        <v>50000</v>
      </c>
      <c r="AE100" s="275">
        <v>100000</v>
      </c>
      <c r="AF100" s="275">
        <v>250000</v>
      </c>
      <c r="AG100" s="58"/>
      <c r="AH100" s="47"/>
      <c r="AI100" s="53">
        <f t="shared" si="25"/>
        <v>400000</v>
      </c>
      <c r="AJ100" s="51"/>
      <c r="AK100" s="218">
        <f t="shared" si="19"/>
        <v>0</v>
      </c>
    </row>
    <row r="101" spans="1:39" s="36" customFormat="1" ht="15.75" x14ac:dyDescent="0.25">
      <c r="A101" s="113" t="s">
        <v>586</v>
      </c>
      <c r="B101" s="35" t="s">
        <v>587</v>
      </c>
      <c r="C101" s="52" t="s">
        <v>45</v>
      </c>
      <c r="D101" s="52" t="s">
        <v>45</v>
      </c>
      <c r="E101" s="35"/>
      <c r="F101" s="52" t="s">
        <v>623</v>
      </c>
      <c r="G101" s="52"/>
      <c r="H101" s="52">
        <v>44564</v>
      </c>
      <c r="I101" s="52">
        <v>44607</v>
      </c>
      <c r="J101" s="50">
        <f t="shared" si="23"/>
        <v>43</v>
      </c>
      <c r="K101" s="52" t="s">
        <v>320</v>
      </c>
      <c r="L101" s="52">
        <f t="shared" si="26"/>
        <v>44637</v>
      </c>
      <c r="M101" s="52"/>
      <c r="N101" s="52"/>
      <c r="O101" s="50">
        <f t="shared" si="24"/>
        <v>-1482.9568106312292</v>
      </c>
      <c r="P101" s="50"/>
      <c r="Q101" s="50"/>
      <c r="R101" s="58">
        <f>2177500-500000</f>
        <v>1677500</v>
      </c>
      <c r="S101" s="115">
        <v>0</v>
      </c>
      <c r="T101" s="115">
        <v>0</v>
      </c>
      <c r="U101" s="115">
        <v>0</v>
      </c>
      <c r="V101" s="115">
        <v>0</v>
      </c>
      <c r="W101" s="115">
        <v>0</v>
      </c>
      <c r="X101" s="115">
        <v>0</v>
      </c>
      <c r="Y101" s="115">
        <v>0</v>
      </c>
      <c r="Z101" s="115">
        <v>0</v>
      </c>
      <c r="AA101" s="115">
        <v>0</v>
      </c>
      <c r="AB101" s="115">
        <v>0</v>
      </c>
      <c r="AC101" s="115">
        <v>0</v>
      </c>
      <c r="AD101" s="53"/>
      <c r="AE101" s="53"/>
      <c r="AF101" s="275">
        <v>1677500</v>
      </c>
      <c r="AG101" s="53"/>
      <c r="AH101" s="47"/>
      <c r="AI101" s="53">
        <f t="shared" si="25"/>
        <v>1677500</v>
      </c>
      <c r="AJ101" s="51"/>
      <c r="AK101" s="218">
        <f t="shared" si="19"/>
        <v>0</v>
      </c>
    </row>
    <row r="102" spans="1:39" s="36" customFormat="1" ht="15.75" x14ac:dyDescent="0.25">
      <c r="A102" s="354" t="s">
        <v>589</v>
      </c>
      <c r="B102" s="355" t="s">
        <v>590</v>
      </c>
      <c r="C102" s="347" t="s">
        <v>45</v>
      </c>
      <c r="D102" s="347" t="s">
        <v>45</v>
      </c>
      <c r="E102" s="355"/>
      <c r="F102" s="347" t="s">
        <v>623</v>
      </c>
      <c r="G102" s="347"/>
      <c r="H102" s="347">
        <v>44564</v>
      </c>
      <c r="I102" s="347">
        <v>44607</v>
      </c>
      <c r="J102" s="356">
        <f t="shared" si="23"/>
        <v>43</v>
      </c>
      <c r="K102" s="347" t="s">
        <v>320</v>
      </c>
      <c r="L102" s="347">
        <f t="shared" si="26"/>
        <v>44637</v>
      </c>
      <c r="M102" s="347"/>
      <c r="N102" s="347"/>
      <c r="O102" s="356">
        <f t="shared" si="24"/>
        <v>-1482.9568106312292</v>
      </c>
      <c r="P102" s="356"/>
      <c r="Q102" s="356"/>
      <c r="R102" s="210">
        <v>753000</v>
      </c>
      <c r="S102" s="115">
        <v>0</v>
      </c>
      <c r="T102" s="115">
        <v>0</v>
      </c>
      <c r="U102" s="115">
        <v>0</v>
      </c>
      <c r="V102" s="115">
        <v>0</v>
      </c>
      <c r="W102" s="115">
        <v>0</v>
      </c>
      <c r="X102" s="115">
        <v>0</v>
      </c>
      <c r="Y102" s="115">
        <v>0</v>
      </c>
      <c r="Z102" s="115">
        <v>0</v>
      </c>
      <c r="AA102" s="115">
        <v>0</v>
      </c>
      <c r="AB102" s="115">
        <v>0</v>
      </c>
      <c r="AC102" s="115">
        <v>0</v>
      </c>
      <c r="AD102" s="53"/>
      <c r="AE102" s="53"/>
      <c r="AF102" s="275">
        <v>753000</v>
      </c>
      <c r="AG102" s="53"/>
      <c r="AH102" s="47"/>
      <c r="AI102" s="53">
        <f t="shared" si="25"/>
        <v>753000</v>
      </c>
      <c r="AJ102" s="51"/>
      <c r="AK102" s="218">
        <f t="shared" si="19"/>
        <v>0</v>
      </c>
      <c r="AM102" s="55"/>
    </row>
    <row r="103" spans="1:39" s="36" customFormat="1" ht="15.75" x14ac:dyDescent="0.25">
      <c r="A103" s="113" t="s">
        <v>583</v>
      </c>
      <c r="B103" s="35" t="s">
        <v>588</v>
      </c>
      <c r="C103" s="52" t="s">
        <v>45</v>
      </c>
      <c r="D103" s="52" t="s">
        <v>45</v>
      </c>
      <c r="E103" s="35"/>
      <c r="F103" s="52" t="s">
        <v>623</v>
      </c>
      <c r="G103" s="52"/>
      <c r="H103" s="52">
        <v>44564</v>
      </c>
      <c r="I103" s="52">
        <v>44607</v>
      </c>
      <c r="J103" s="50">
        <f t="shared" si="23"/>
        <v>43</v>
      </c>
      <c r="K103" s="52" t="s">
        <v>320</v>
      </c>
      <c r="L103" s="52">
        <f t="shared" si="26"/>
        <v>44637</v>
      </c>
      <c r="M103" s="52"/>
      <c r="N103" s="52"/>
      <c r="O103" s="50">
        <f t="shared" si="24"/>
        <v>-1482.9568106312292</v>
      </c>
      <c r="P103" s="50"/>
      <c r="Q103" s="50"/>
      <c r="R103" s="53">
        <v>500000</v>
      </c>
      <c r="S103" s="115">
        <v>0</v>
      </c>
      <c r="T103" s="115">
        <v>0</v>
      </c>
      <c r="U103" s="115">
        <v>0</v>
      </c>
      <c r="V103" s="115">
        <v>0</v>
      </c>
      <c r="W103" s="115">
        <v>0</v>
      </c>
      <c r="X103" s="115">
        <v>0</v>
      </c>
      <c r="Y103" s="115">
        <v>0</v>
      </c>
      <c r="Z103" s="115">
        <v>0</v>
      </c>
      <c r="AA103" s="115">
        <v>0</v>
      </c>
      <c r="AB103" s="115">
        <v>0</v>
      </c>
      <c r="AC103" s="115">
        <v>0</v>
      </c>
      <c r="AD103" s="53"/>
      <c r="AE103" s="53"/>
      <c r="AF103" s="275">
        <v>500000</v>
      </c>
      <c r="AG103" s="53"/>
      <c r="AH103" s="47"/>
      <c r="AI103" s="53">
        <f t="shared" si="25"/>
        <v>500000</v>
      </c>
      <c r="AJ103" s="51"/>
      <c r="AK103" s="218">
        <f t="shared" si="19"/>
        <v>0</v>
      </c>
      <c r="AM103" s="55"/>
    </row>
    <row r="104" spans="1:39" s="36" customFormat="1" ht="15.75" x14ac:dyDescent="0.25">
      <c r="A104" s="113" t="s">
        <v>584</v>
      </c>
      <c r="B104" s="35" t="s">
        <v>585</v>
      </c>
      <c r="C104" s="52" t="s">
        <v>45</v>
      </c>
      <c r="D104" s="52" t="s">
        <v>45</v>
      </c>
      <c r="E104" s="35"/>
      <c r="F104" s="52" t="s">
        <v>623</v>
      </c>
      <c r="G104" s="52"/>
      <c r="H104" s="52">
        <v>44564</v>
      </c>
      <c r="I104" s="52">
        <v>44607</v>
      </c>
      <c r="J104" s="50">
        <f t="shared" si="23"/>
        <v>43</v>
      </c>
      <c r="K104" s="52" t="s">
        <v>320</v>
      </c>
      <c r="L104" s="52">
        <f t="shared" si="26"/>
        <v>44637</v>
      </c>
      <c r="M104" s="52"/>
      <c r="N104" s="52"/>
      <c r="O104" s="50">
        <f t="shared" si="24"/>
        <v>-1482.9568106312292</v>
      </c>
      <c r="P104" s="50"/>
      <c r="Q104" s="50"/>
      <c r="R104" s="53">
        <v>650000</v>
      </c>
      <c r="S104" s="115">
        <v>0</v>
      </c>
      <c r="T104" s="115">
        <v>0</v>
      </c>
      <c r="U104" s="115">
        <v>0</v>
      </c>
      <c r="V104" s="115">
        <v>0</v>
      </c>
      <c r="W104" s="115">
        <v>0</v>
      </c>
      <c r="X104" s="115">
        <v>0</v>
      </c>
      <c r="Y104" s="115">
        <v>0</v>
      </c>
      <c r="Z104" s="115">
        <v>0</v>
      </c>
      <c r="AA104" s="115">
        <v>0</v>
      </c>
      <c r="AB104" s="115">
        <v>0</v>
      </c>
      <c r="AC104" s="115">
        <v>0</v>
      </c>
      <c r="AD104" s="53"/>
      <c r="AE104" s="53"/>
      <c r="AF104" s="275">
        <v>650000</v>
      </c>
      <c r="AG104" s="53"/>
      <c r="AH104" s="47"/>
      <c r="AI104" s="53">
        <f t="shared" si="25"/>
        <v>650000</v>
      </c>
      <c r="AJ104" s="51"/>
      <c r="AK104" s="218">
        <f t="shared" si="19"/>
        <v>0</v>
      </c>
      <c r="AM104" s="55"/>
    </row>
    <row r="105" spans="1:39" s="36" customFormat="1" ht="15.75" x14ac:dyDescent="0.25">
      <c r="A105" s="113" t="s">
        <v>714</v>
      </c>
      <c r="B105" s="35" t="s">
        <v>715</v>
      </c>
      <c r="C105" s="52" t="s">
        <v>45</v>
      </c>
      <c r="D105" s="52" t="s">
        <v>45</v>
      </c>
      <c r="E105" s="35"/>
      <c r="F105" s="52" t="s">
        <v>623</v>
      </c>
      <c r="G105" s="52"/>
      <c r="H105" s="52">
        <v>44564</v>
      </c>
      <c r="I105" s="52">
        <v>44607</v>
      </c>
      <c r="J105" s="50">
        <f t="shared" si="23"/>
        <v>43</v>
      </c>
      <c r="K105" s="52" t="s">
        <v>320</v>
      </c>
      <c r="L105" s="52">
        <f t="shared" si="26"/>
        <v>44637</v>
      </c>
      <c r="M105" s="52"/>
      <c r="N105" s="52"/>
      <c r="O105" s="50"/>
      <c r="P105" s="50"/>
      <c r="Q105" s="50"/>
      <c r="R105" s="53"/>
      <c r="S105" s="115">
        <v>0</v>
      </c>
      <c r="T105" s="115">
        <v>0</v>
      </c>
      <c r="U105" s="115">
        <v>0</v>
      </c>
      <c r="V105" s="115">
        <v>0</v>
      </c>
      <c r="W105" s="115">
        <v>0</v>
      </c>
      <c r="X105" s="115">
        <v>0</v>
      </c>
      <c r="Y105" s="115">
        <v>0</v>
      </c>
      <c r="Z105" s="115">
        <v>0</v>
      </c>
      <c r="AA105" s="115">
        <v>0</v>
      </c>
      <c r="AB105" s="115">
        <v>0</v>
      </c>
      <c r="AC105" s="115">
        <v>0</v>
      </c>
      <c r="AD105" s="53"/>
      <c r="AE105" s="53"/>
      <c r="AF105" s="275"/>
      <c r="AG105" s="53"/>
      <c r="AH105" s="47"/>
      <c r="AI105" s="53"/>
      <c r="AJ105" s="51"/>
      <c r="AK105" s="218">
        <f t="shared" si="19"/>
        <v>0</v>
      </c>
      <c r="AM105" s="55"/>
    </row>
    <row r="106" spans="1:39" s="36" customFormat="1" ht="15.75" x14ac:dyDescent="0.25">
      <c r="A106" s="113" t="s">
        <v>716</v>
      </c>
      <c r="B106" s="35" t="s">
        <v>699</v>
      </c>
      <c r="C106" s="52" t="s">
        <v>165</v>
      </c>
      <c r="D106" s="52" t="s">
        <v>165</v>
      </c>
      <c r="E106" s="105" t="s">
        <v>700</v>
      </c>
      <c r="F106" s="52" t="s">
        <v>623</v>
      </c>
      <c r="G106" s="52"/>
      <c r="H106" s="52">
        <v>44564</v>
      </c>
      <c r="I106" s="52">
        <v>44607</v>
      </c>
      <c r="J106" s="50">
        <f t="shared" si="23"/>
        <v>43</v>
      </c>
      <c r="K106" s="52" t="s">
        <v>320</v>
      </c>
      <c r="L106" s="52">
        <f t="shared" si="26"/>
        <v>44637</v>
      </c>
      <c r="M106" s="52"/>
      <c r="N106" s="52"/>
      <c r="O106" s="50">
        <f>((M106-L106)/7)/4.3</f>
        <v>-1482.9568106312292</v>
      </c>
      <c r="P106" s="50"/>
      <c r="Q106" s="50"/>
      <c r="R106" s="53">
        <v>350000</v>
      </c>
      <c r="S106" s="115">
        <v>0</v>
      </c>
      <c r="T106" s="115">
        <v>0</v>
      </c>
      <c r="U106" s="115">
        <v>0</v>
      </c>
      <c r="V106" s="115">
        <v>0</v>
      </c>
      <c r="W106" s="115">
        <v>0</v>
      </c>
      <c r="X106" s="115">
        <v>0</v>
      </c>
      <c r="Y106" s="115">
        <v>0</v>
      </c>
      <c r="Z106" s="115">
        <v>0</v>
      </c>
      <c r="AA106" s="115">
        <v>0</v>
      </c>
      <c r="AB106" s="115">
        <v>0</v>
      </c>
      <c r="AC106" s="115">
        <v>0</v>
      </c>
      <c r="AD106" s="275">
        <v>50000</v>
      </c>
      <c r="AE106" s="275">
        <v>100000</v>
      </c>
      <c r="AF106" s="275">
        <v>200000</v>
      </c>
      <c r="AG106" s="53"/>
      <c r="AH106" s="47"/>
      <c r="AI106" s="53">
        <f>SUM(S106:AH106)</f>
        <v>350000</v>
      </c>
      <c r="AJ106" s="51"/>
      <c r="AK106" s="218">
        <f t="shared" si="19"/>
        <v>0</v>
      </c>
    </row>
    <row r="107" spans="1:39" s="36" customFormat="1" ht="15.75" x14ac:dyDescent="0.25">
      <c r="A107" s="113" t="s">
        <v>717</v>
      </c>
      <c r="B107" s="35" t="s">
        <v>524</v>
      </c>
      <c r="C107" s="52" t="s">
        <v>45</v>
      </c>
      <c r="D107" s="52" t="s">
        <v>45</v>
      </c>
      <c r="E107" s="35" t="s">
        <v>522</v>
      </c>
      <c r="F107" s="52" t="s">
        <v>623</v>
      </c>
      <c r="G107" s="52"/>
      <c r="H107" s="52">
        <v>44564</v>
      </c>
      <c r="I107" s="52">
        <v>44607</v>
      </c>
      <c r="J107" s="50">
        <f t="shared" si="23"/>
        <v>43</v>
      </c>
      <c r="K107" s="52" t="s">
        <v>320</v>
      </c>
      <c r="L107" s="52">
        <f t="shared" si="26"/>
        <v>44637</v>
      </c>
      <c r="M107" s="52"/>
      <c r="N107" s="52"/>
      <c r="O107" s="50">
        <f>((M107-L107)/7)/4.3</f>
        <v>-1482.9568106312292</v>
      </c>
      <c r="P107" s="50"/>
      <c r="Q107" s="50"/>
      <c r="R107" s="53">
        <v>3000000</v>
      </c>
      <c r="S107" s="115">
        <v>0</v>
      </c>
      <c r="T107" s="115">
        <v>0</v>
      </c>
      <c r="U107" s="115">
        <v>0</v>
      </c>
      <c r="V107" s="115">
        <v>0</v>
      </c>
      <c r="W107" s="115">
        <v>0</v>
      </c>
      <c r="X107" s="115">
        <v>0</v>
      </c>
      <c r="Y107" s="115">
        <v>0</v>
      </c>
      <c r="Z107" s="115">
        <v>0</v>
      </c>
      <c r="AA107" s="115">
        <v>0</v>
      </c>
      <c r="AB107" s="115">
        <v>0</v>
      </c>
      <c r="AC107" s="115">
        <v>0</v>
      </c>
      <c r="AD107" s="53"/>
      <c r="AE107" s="53"/>
      <c r="AF107" s="275">
        <v>3000000</v>
      </c>
      <c r="AG107" s="53"/>
      <c r="AH107" s="47"/>
      <c r="AI107" s="53">
        <f>SUM(S107:AH107)</f>
        <v>3000000</v>
      </c>
      <c r="AJ107" s="51"/>
      <c r="AK107" s="218">
        <f t="shared" si="19"/>
        <v>0</v>
      </c>
      <c r="AM107" s="55"/>
    </row>
    <row r="108" spans="1:39" s="36" customFormat="1" ht="15.75" x14ac:dyDescent="0.25">
      <c r="A108" s="113" t="s">
        <v>718</v>
      </c>
      <c r="B108" s="35" t="s">
        <v>660</v>
      </c>
      <c r="C108" s="52" t="s">
        <v>45</v>
      </c>
      <c r="D108" s="52" t="s">
        <v>45</v>
      </c>
      <c r="E108" s="35"/>
      <c r="F108" s="52" t="s">
        <v>623</v>
      </c>
      <c r="G108" s="52"/>
      <c r="H108" s="52">
        <v>44564</v>
      </c>
      <c r="I108" s="52">
        <v>44607</v>
      </c>
      <c r="J108" s="50">
        <f t="shared" si="23"/>
        <v>43</v>
      </c>
      <c r="K108" s="52" t="s">
        <v>320</v>
      </c>
      <c r="L108" s="52">
        <v>44593</v>
      </c>
      <c r="M108" s="52"/>
      <c r="N108" s="52"/>
      <c r="O108" s="50">
        <f>((M108-L108)/7)/4.3</f>
        <v>-1481.4950166112958</v>
      </c>
      <c r="P108" s="50"/>
      <c r="Q108" s="50"/>
      <c r="R108" s="53">
        <v>680000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115">
        <v>0</v>
      </c>
      <c r="AD108" s="53"/>
      <c r="AE108" s="53"/>
      <c r="AF108" s="275">
        <v>680000</v>
      </c>
      <c r="AG108" s="53"/>
      <c r="AH108" s="47"/>
      <c r="AI108" s="53">
        <f>SUM(S108:AH108)</f>
        <v>680000</v>
      </c>
      <c r="AJ108" s="51"/>
      <c r="AK108" s="218">
        <f t="shared" si="19"/>
        <v>0</v>
      </c>
    </row>
    <row r="109" spans="1:39" s="36" customFormat="1" ht="15.75" x14ac:dyDescent="0.25">
      <c r="A109" s="113" t="s">
        <v>719</v>
      </c>
      <c r="B109" s="35" t="s">
        <v>661</v>
      </c>
      <c r="C109" s="52" t="s">
        <v>45</v>
      </c>
      <c r="D109" s="52" t="s">
        <v>45</v>
      </c>
      <c r="E109" s="35"/>
      <c r="F109" s="52" t="s">
        <v>623</v>
      </c>
      <c r="G109" s="52"/>
      <c r="H109" s="52">
        <v>44564</v>
      </c>
      <c r="I109" s="52">
        <v>44607</v>
      </c>
      <c r="J109" s="50">
        <f t="shared" si="23"/>
        <v>43</v>
      </c>
      <c r="K109" s="52" t="s">
        <v>320</v>
      </c>
      <c r="L109" s="52">
        <v>44593</v>
      </c>
      <c r="M109" s="52"/>
      <c r="N109" s="52">
        <v>44774</v>
      </c>
      <c r="O109" s="50">
        <f>((M109-L109)/7)/4.3</f>
        <v>-1481.4950166112958</v>
      </c>
      <c r="P109" s="50"/>
      <c r="Q109" s="50"/>
      <c r="R109" s="53">
        <f>2860000-680000</f>
        <v>2180000</v>
      </c>
      <c r="S109" s="115">
        <v>0</v>
      </c>
      <c r="T109" s="115">
        <v>0</v>
      </c>
      <c r="U109" s="115">
        <v>0</v>
      </c>
      <c r="V109" s="115">
        <v>0</v>
      </c>
      <c r="W109" s="115">
        <v>0</v>
      </c>
      <c r="X109" s="115">
        <v>0</v>
      </c>
      <c r="Y109" s="115">
        <v>0</v>
      </c>
      <c r="Z109" s="115">
        <v>0</v>
      </c>
      <c r="AA109" s="115">
        <v>0</v>
      </c>
      <c r="AB109" s="115">
        <v>0</v>
      </c>
      <c r="AC109" s="115">
        <v>0</v>
      </c>
      <c r="AD109" s="53"/>
      <c r="AE109" s="53"/>
      <c r="AF109" s="275">
        <v>2180000</v>
      </c>
      <c r="AG109" s="53"/>
      <c r="AH109" s="47"/>
      <c r="AI109" s="53">
        <f>SUM(S109:AH109)</f>
        <v>2180000</v>
      </c>
      <c r="AJ109" s="51"/>
      <c r="AK109" s="218">
        <f t="shared" si="19"/>
        <v>0</v>
      </c>
    </row>
    <row r="110" spans="1:39" s="36" customFormat="1" ht="15.75" x14ac:dyDescent="0.25">
      <c r="A110" s="113" t="s">
        <v>720</v>
      </c>
      <c r="B110" s="35" t="s">
        <v>721</v>
      </c>
      <c r="C110" s="52" t="s">
        <v>45</v>
      </c>
      <c r="D110" s="52" t="s">
        <v>45</v>
      </c>
      <c r="E110" s="35"/>
      <c r="F110" s="52" t="s">
        <v>623</v>
      </c>
      <c r="G110" s="52"/>
      <c r="H110" s="52">
        <v>44564</v>
      </c>
      <c r="I110" s="52">
        <v>44607</v>
      </c>
      <c r="J110" s="50">
        <f t="shared" si="23"/>
        <v>43</v>
      </c>
      <c r="K110" s="52" t="s">
        <v>320</v>
      </c>
      <c r="L110" s="52">
        <f t="shared" si="26"/>
        <v>44637</v>
      </c>
      <c r="M110" s="52"/>
      <c r="N110" s="52"/>
      <c r="O110" s="50"/>
      <c r="P110" s="50"/>
      <c r="Q110" s="50"/>
      <c r="R110" s="53"/>
      <c r="S110" s="115">
        <v>0</v>
      </c>
      <c r="T110" s="115">
        <v>0</v>
      </c>
      <c r="U110" s="115">
        <v>0</v>
      </c>
      <c r="V110" s="115">
        <v>0</v>
      </c>
      <c r="W110" s="115">
        <v>0</v>
      </c>
      <c r="X110" s="115">
        <v>0</v>
      </c>
      <c r="Y110" s="115">
        <v>0</v>
      </c>
      <c r="Z110" s="115">
        <v>0</v>
      </c>
      <c r="AA110" s="115">
        <v>0</v>
      </c>
      <c r="AB110" s="115">
        <v>0</v>
      </c>
      <c r="AC110" s="115">
        <v>0</v>
      </c>
      <c r="AD110" s="53"/>
      <c r="AE110" s="53"/>
      <c r="AF110" s="275"/>
      <c r="AG110" s="53"/>
      <c r="AH110" s="47"/>
      <c r="AI110" s="53"/>
      <c r="AJ110" s="51"/>
      <c r="AK110" s="218">
        <f t="shared" si="19"/>
        <v>0</v>
      </c>
    </row>
    <row r="111" spans="1:39" s="36" customFormat="1" ht="15.75" x14ac:dyDescent="0.25">
      <c r="A111" s="113" t="s">
        <v>722</v>
      </c>
      <c r="B111" s="35" t="s">
        <v>723</v>
      </c>
      <c r="C111" s="52" t="s">
        <v>45</v>
      </c>
      <c r="D111" s="52" t="s">
        <v>45</v>
      </c>
      <c r="E111" s="35"/>
      <c r="F111" s="52" t="s">
        <v>623</v>
      </c>
      <c r="G111" s="52"/>
      <c r="H111" s="52">
        <v>44501</v>
      </c>
      <c r="I111" s="52">
        <v>44531</v>
      </c>
      <c r="J111" s="50">
        <f>I111-H111</f>
        <v>30</v>
      </c>
      <c r="K111" s="52" t="s">
        <v>320</v>
      </c>
      <c r="L111" s="52">
        <v>44592</v>
      </c>
      <c r="M111" s="52"/>
      <c r="N111" s="52"/>
      <c r="O111" s="50">
        <f>((M111-L111)/7)/4.3</f>
        <v>-1481.4617940199337</v>
      </c>
      <c r="P111" s="50"/>
      <c r="Q111" s="50"/>
      <c r="R111" s="53">
        <v>350000</v>
      </c>
      <c r="S111" s="115">
        <v>0</v>
      </c>
      <c r="T111" s="115">
        <v>0</v>
      </c>
      <c r="U111" s="115">
        <v>0</v>
      </c>
      <c r="V111" s="115">
        <v>0</v>
      </c>
      <c r="W111" s="115">
        <v>0</v>
      </c>
      <c r="X111" s="115">
        <v>0</v>
      </c>
      <c r="Y111" s="115">
        <v>0</v>
      </c>
      <c r="Z111" s="115">
        <v>0</v>
      </c>
      <c r="AA111" s="115">
        <v>0</v>
      </c>
      <c r="AB111" s="115">
        <v>0</v>
      </c>
      <c r="AC111" s="115">
        <v>0</v>
      </c>
      <c r="AD111" s="53"/>
      <c r="AE111" s="53"/>
      <c r="AF111" s="58">
        <v>350000</v>
      </c>
      <c r="AG111" s="53"/>
      <c r="AH111" s="47"/>
      <c r="AI111" s="53">
        <f t="shared" ref="AI111:AI117" si="27">SUM(S111:AH111)</f>
        <v>350000</v>
      </c>
      <c r="AJ111" s="51"/>
      <c r="AK111" s="218">
        <f t="shared" si="19"/>
        <v>0</v>
      </c>
      <c r="AM111" s="55"/>
    </row>
    <row r="112" spans="1:39" s="36" customFormat="1" ht="15.75" x14ac:dyDescent="0.25">
      <c r="A112" s="113" t="s">
        <v>724</v>
      </c>
      <c r="B112" s="114" t="s">
        <v>654</v>
      </c>
      <c r="C112" s="52" t="s">
        <v>45</v>
      </c>
      <c r="D112" s="52" t="s">
        <v>45</v>
      </c>
      <c r="E112" s="35"/>
      <c r="F112" s="52" t="s">
        <v>623</v>
      </c>
      <c r="G112" s="52"/>
      <c r="H112" s="87">
        <v>44512</v>
      </c>
      <c r="I112" s="52">
        <v>44500</v>
      </c>
      <c r="J112" s="50">
        <f>I112-H112</f>
        <v>-12</v>
      </c>
      <c r="K112" s="52" t="s">
        <v>320</v>
      </c>
      <c r="L112" s="52">
        <v>44256</v>
      </c>
      <c r="M112" s="52"/>
      <c r="N112" s="52"/>
      <c r="O112" s="50">
        <f>((M112-L112)/7)/4.3</f>
        <v>-1470.2990033222593</v>
      </c>
      <c r="P112" s="50"/>
      <c r="Q112" s="50"/>
      <c r="R112" s="53">
        <v>1500000</v>
      </c>
      <c r="S112" s="115">
        <v>0</v>
      </c>
      <c r="T112" s="115">
        <v>0</v>
      </c>
      <c r="U112" s="115">
        <v>0</v>
      </c>
      <c r="V112" s="115">
        <v>0</v>
      </c>
      <c r="W112" s="115">
        <v>0</v>
      </c>
      <c r="X112" s="115">
        <v>0</v>
      </c>
      <c r="Y112" s="115">
        <v>0</v>
      </c>
      <c r="Z112" s="115">
        <v>0</v>
      </c>
      <c r="AA112" s="115">
        <v>0</v>
      </c>
      <c r="AB112" s="115">
        <v>0</v>
      </c>
      <c r="AC112" s="115">
        <v>0</v>
      </c>
      <c r="AD112" s="53"/>
      <c r="AE112" s="53"/>
      <c r="AF112" s="275">
        <v>1500000</v>
      </c>
      <c r="AG112" s="53"/>
      <c r="AH112" s="47"/>
      <c r="AI112" s="53">
        <f t="shared" si="27"/>
        <v>1500000</v>
      </c>
      <c r="AJ112" s="51"/>
      <c r="AK112" s="218">
        <f t="shared" si="19"/>
        <v>0</v>
      </c>
      <c r="AM112" s="55"/>
    </row>
    <row r="113" spans="1:39" s="36" customFormat="1" ht="15.75" x14ac:dyDescent="0.25">
      <c r="A113" s="113" t="s">
        <v>725</v>
      </c>
      <c r="B113" s="114" t="s">
        <v>663</v>
      </c>
      <c r="C113" s="52" t="s">
        <v>45</v>
      </c>
      <c r="D113" s="52" t="s">
        <v>45</v>
      </c>
      <c r="E113" s="35"/>
      <c r="F113" s="52" t="s">
        <v>623</v>
      </c>
      <c r="G113" s="52"/>
      <c r="H113" s="87">
        <v>44526</v>
      </c>
      <c r="I113" s="52">
        <v>44515</v>
      </c>
      <c r="J113" s="50">
        <f>I113-H113</f>
        <v>-11</v>
      </c>
      <c r="K113" s="52" t="s">
        <v>320</v>
      </c>
      <c r="L113" s="52">
        <v>44621</v>
      </c>
      <c r="M113" s="52"/>
      <c r="N113" s="52"/>
      <c r="O113" s="50">
        <f>((M113-L113)/7)/4.3</f>
        <v>-1482.4252491694353</v>
      </c>
      <c r="P113" s="50"/>
      <c r="Q113" s="50"/>
      <c r="R113" s="53">
        <v>350000</v>
      </c>
      <c r="S113" s="115">
        <v>0</v>
      </c>
      <c r="T113" s="115">
        <v>0</v>
      </c>
      <c r="U113" s="115">
        <v>0</v>
      </c>
      <c r="V113" s="115">
        <v>0</v>
      </c>
      <c r="W113" s="115">
        <v>0</v>
      </c>
      <c r="X113" s="115">
        <v>0</v>
      </c>
      <c r="Y113" s="115">
        <v>0</v>
      </c>
      <c r="Z113" s="115">
        <v>0</v>
      </c>
      <c r="AA113" s="115">
        <v>0</v>
      </c>
      <c r="AB113" s="115">
        <v>0</v>
      </c>
      <c r="AC113" s="115">
        <v>0</v>
      </c>
      <c r="AD113" s="53"/>
      <c r="AE113" s="53"/>
      <c r="AF113" s="275">
        <v>350000</v>
      </c>
      <c r="AG113" s="53"/>
      <c r="AH113" s="47"/>
      <c r="AI113" s="53">
        <f t="shared" si="27"/>
        <v>350000</v>
      </c>
      <c r="AJ113" s="51"/>
      <c r="AK113" s="218">
        <f t="shared" si="19"/>
        <v>0</v>
      </c>
      <c r="AM113" s="55"/>
    </row>
    <row r="114" spans="1:39" s="36" customFormat="1" ht="15.75" x14ac:dyDescent="0.25">
      <c r="A114" s="113" t="s">
        <v>726</v>
      </c>
      <c r="B114" s="114" t="s">
        <v>662</v>
      </c>
      <c r="C114" s="52" t="s">
        <v>45</v>
      </c>
      <c r="D114" s="52" t="s">
        <v>45</v>
      </c>
      <c r="E114" s="35"/>
      <c r="F114" s="52" t="s">
        <v>623</v>
      </c>
      <c r="G114" s="52"/>
      <c r="H114" s="87">
        <v>44526</v>
      </c>
      <c r="I114" s="52">
        <v>44515</v>
      </c>
      <c r="J114" s="50">
        <f>I114-H114</f>
        <v>-11</v>
      </c>
      <c r="K114" s="52" t="s">
        <v>320</v>
      </c>
      <c r="L114" s="52">
        <v>44621</v>
      </c>
      <c r="M114" s="52"/>
      <c r="N114" s="52"/>
      <c r="O114" s="50">
        <f>((M114-L114)/7)/4.3</f>
        <v>-1482.4252491694353</v>
      </c>
      <c r="P114" s="50"/>
      <c r="Q114" s="50"/>
      <c r="R114" s="53">
        <v>450000</v>
      </c>
      <c r="S114" s="115">
        <v>0</v>
      </c>
      <c r="T114" s="115">
        <v>0</v>
      </c>
      <c r="U114" s="115">
        <v>0</v>
      </c>
      <c r="V114" s="115">
        <v>0</v>
      </c>
      <c r="W114" s="115">
        <v>0</v>
      </c>
      <c r="X114" s="115">
        <v>0</v>
      </c>
      <c r="Y114" s="115">
        <v>0</v>
      </c>
      <c r="Z114" s="115">
        <v>0</v>
      </c>
      <c r="AA114" s="115">
        <v>0</v>
      </c>
      <c r="AB114" s="115">
        <v>0</v>
      </c>
      <c r="AC114" s="115">
        <v>0</v>
      </c>
      <c r="AD114" s="53"/>
      <c r="AE114" s="53"/>
      <c r="AF114" s="275">
        <v>450000</v>
      </c>
      <c r="AG114" s="53"/>
      <c r="AH114" s="47"/>
      <c r="AI114" s="53">
        <f t="shared" si="27"/>
        <v>450000</v>
      </c>
      <c r="AJ114" s="51"/>
      <c r="AK114" s="218">
        <f t="shared" si="19"/>
        <v>0</v>
      </c>
      <c r="AM114" s="55"/>
    </row>
    <row r="115" spans="1:39" s="36" customFormat="1" ht="15.75" x14ac:dyDescent="0.25">
      <c r="A115" s="113" t="s">
        <v>727</v>
      </c>
      <c r="B115" s="35" t="s">
        <v>653</v>
      </c>
      <c r="C115" s="52" t="s">
        <v>45</v>
      </c>
      <c r="D115" s="52" t="s">
        <v>45</v>
      </c>
      <c r="E115" s="35"/>
      <c r="F115" s="52" t="s">
        <v>623</v>
      </c>
      <c r="G115" s="52"/>
      <c r="H115" s="52">
        <v>44501</v>
      </c>
      <c r="I115" s="52">
        <v>44531</v>
      </c>
      <c r="J115" s="50">
        <f>I115-H115</f>
        <v>30</v>
      </c>
      <c r="K115" s="52" t="s">
        <v>320</v>
      </c>
      <c r="L115" s="52">
        <v>44593</v>
      </c>
      <c r="M115" s="52"/>
      <c r="N115" s="52"/>
      <c r="O115" s="50">
        <f>((M115-L115)/7)/4.3</f>
        <v>-1481.4950166112958</v>
      </c>
      <c r="P115" s="50"/>
      <c r="Q115" s="50"/>
      <c r="R115" s="53">
        <v>1200000</v>
      </c>
      <c r="S115" s="115">
        <v>0</v>
      </c>
      <c r="T115" s="115">
        <v>0</v>
      </c>
      <c r="U115" s="115">
        <v>0</v>
      </c>
      <c r="V115" s="115">
        <v>0</v>
      </c>
      <c r="W115" s="115">
        <v>0</v>
      </c>
      <c r="X115" s="115">
        <v>0</v>
      </c>
      <c r="Y115" s="115">
        <v>0</v>
      </c>
      <c r="Z115" s="115">
        <v>0</v>
      </c>
      <c r="AA115" s="115">
        <v>0</v>
      </c>
      <c r="AB115" s="115">
        <v>0</v>
      </c>
      <c r="AC115" s="115">
        <v>0</v>
      </c>
      <c r="AD115" s="53"/>
      <c r="AE115" s="53"/>
      <c r="AF115" s="275">
        <v>1200000</v>
      </c>
      <c r="AG115" s="53"/>
      <c r="AH115" s="47"/>
      <c r="AI115" s="53">
        <f t="shared" si="27"/>
        <v>1200000</v>
      </c>
      <c r="AJ115" s="51"/>
      <c r="AK115" s="218">
        <f t="shared" si="19"/>
        <v>0</v>
      </c>
    </row>
    <row r="116" spans="1:39" s="36" customFormat="1" ht="15.75" x14ac:dyDescent="0.25">
      <c r="A116" s="354" t="s">
        <v>728</v>
      </c>
      <c r="B116" s="355" t="s">
        <v>731</v>
      </c>
      <c r="C116" s="347" t="s">
        <v>45</v>
      </c>
      <c r="D116" s="347" t="s">
        <v>45</v>
      </c>
      <c r="E116" s="355"/>
      <c r="F116" s="347" t="s">
        <v>623</v>
      </c>
      <c r="G116" s="347"/>
      <c r="H116" s="347">
        <v>44501</v>
      </c>
      <c r="I116" s="347">
        <v>44531</v>
      </c>
      <c r="J116" s="356">
        <f t="shared" ref="J116:J131" si="28">I116-H116</f>
        <v>30</v>
      </c>
      <c r="K116" s="347" t="s">
        <v>320</v>
      </c>
      <c r="L116" s="347">
        <f t="shared" si="26"/>
        <v>44561</v>
      </c>
      <c r="M116" s="347"/>
      <c r="N116" s="347"/>
      <c r="O116" s="356"/>
      <c r="P116" s="356"/>
      <c r="Q116" s="356"/>
      <c r="R116" s="53"/>
      <c r="S116" s="115">
        <v>0</v>
      </c>
      <c r="T116" s="115">
        <v>0</v>
      </c>
      <c r="U116" s="115">
        <v>0</v>
      </c>
      <c r="V116" s="115">
        <v>0</v>
      </c>
      <c r="W116" s="115">
        <v>0</v>
      </c>
      <c r="X116" s="115">
        <v>0</v>
      </c>
      <c r="Y116" s="115">
        <v>0</v>
      </c>
      <c r="Z116" s="115">
        <v>0</v>
      </c>
      <c r="AA116" s="115">
        <v>0</v>
      </c>
      <c r="AB116" s="115">
        <v>0</v>
      </c>
      <c r="AC116" s="115">
        <v>0</v>
      </c>
      <c r="AD116" s="53"/>
      <c r="AE116" s="53"/>
      <c r="AF116" s="275"/>
      <c r="AG116" s="53"/>
      <c r="AH116" s="47"/>
      <c r="AI116" s="53">
        <f t="shared" si="27"/>
        <v>0</v>
      </c>
      <c r="AJ116" s="51"/>
      <c r="AK116" s="218">
        <f t="shared" si="19"/>
        <v>0</v>
      </c>
    </row>
    <row r="117" spans="1:39" s="36" customFormat="1" ht="15.75" x14ac:dyDescent="0.25">
      <c r="A117" s="113" t="s">
        <v>729</v>
      </c>
      <c r="B117" s="35" t="s">
        <v>730</v>
      </c>
      <c r="C117" s="52" t="s">
        <v>45</v>
      </c>
      <c r="D117" s="52" t="s">
        <v>45</v>
      </c>
      <c r="E117" s="35"/>
      <c r="F117" s="52" t="s">
        <v>623</v>
      </c>
      <c r="G117" s="52"/>
      <c r="H117" s="52">
        <v>44501</v>
      </c>
      <c r="I117" s="52">
        <v>44531</v>
      </c>
      <c r="J117" s="50">
        <f t="shared" si="28"/>
        <v>30</v>
      </c>
      <c r="K117" s="52" t="s">
        <v>320</v>
      </c>
      <c r="L117" s="52">
        <v>44593</v>
      </c>
      <c r="M117" s="52"/>
      <c r="N117" s="52"/>
      <c r="O117" s="50"/>
      <c r="P117" s="50"/>
      <c r="Q117" s="50"/>
      <c r="R117" s="53">
        <v>350000</v>
      </c>
      <c r="S117" s="115">
        <v>0</v>
      </c>
      <c r="T117" s="115">
        <v>0</v>
      </c>
      <c r="U117" s="115">
        <v>0</v>
      </c>
      <c r="V117" s="115">
        <v>0</v>
      </c>
      <c r="W117" s="115">
        <v>0</v>
      </c>
      <c r="X117" s="115">
        <v>0</v>
      </c>
      <c r="Y117" s="115">
        <v>0</v>
      </c>
      <c r="Z117" s="115">
        <v>0</v>
      </c>
      <c r="AA117" s="115">
        <v>0</v>
      </c>
      <c r="AB117" s="115">
        <v>0</v>
      </c>
      <c r="AC117" s="115">
        <v>0</v>
      </c>
      <c r="AD117" s="53"/>
      <c r="AE117" s="53"/>
      <c r="AF117" s="275">
        <v>350000</v>
      </c>
      <c r="AG117" s="53"/>
      <c r="AH117" s="47"/>
      <c r="AI117" s="53">
        <f t="shared" si="27"/>
        <v>350000</v>
      </c>
      <c r="AJ117" s="51"/>
      <c r="AK117" s="218">
        <f t="shared" si="19"/>
        <v>0</v>
      </c>
      <c r="AM117" s="55"/>
    </row>
    <row r="118" spans="1:39" s="36" customFormat="1" ht="15.75" x14ac:dyDescent="0.25">
      <c r="A118" s="113" t="s">
        <v>744</v>
      </c>
      <c r="B118" s="35" t="s">
        <v>733</v>
      </c>
      <c r="C118" s="52" t="s">
        <v>45</v>
      </c>
      <c r="D118" s="52" t="s">
        <v>45</v>
      </c>
      <c r="E118" s="35"/>
      <c r="F118" s="52" t="s">
        <v>623</v>
      </c>
      <c r="G118" s="52"/>
      <c r="H118" s="52"/>
      <c r="I118" s="52"/>
      <c r="J118" s="50">
        <f t="shared" si="28"/>
        <v>0</v>
      </c>
      <c r="K118" s="52" t="s">
        <v>320</v>
      </c>
      <c r="L118" s="52">
        <v>44591</v>
      </c>
      <c r="M118" s="52"/>
      <c r="N118" s="52"/>
      <c r="O118" s="50">
        <f t="shared" ref="O118:O128" si="29">((M118-L118)/7)/4.3</f>
        <v>-1481.4285714285713</v>
      </c>
      <c r="P118" s="50"/>
      <c r="Q118" s="50"/>
      <c r="R118" s="53">
        <v>750000</v>
      </c>
      <c r="S118" s="115">
        <v>0</v>
      </c>
      <c r="T118" s="115">
        <v>0</v>
      </c>
      <c r="U118" s="115">
        <v>0</v>
      </c>
      <c r="V118" s="115">
        <v>0</v>
      </c>
      <c r="W118" s="115">
        <v>0</v>
      </c>
      <c r="X118" s="115">
        <v>0</v>
      </c>
      <c r="Y118" s="115">
        <v>0</v>
      </c>
      <c r="Z118" s="115">
        <v>0</v>
      </c>
      <c r="AA118" s="115">
        <v>0</v>
      </c>
      <c r="AB118" s="115">
        <v>0</v>
      </c>
      <c r="AC118" s="115">
        <v>0</v>
      </c>
      <c r="AD118" s="53"/>
      <c r="AE118" s="53"/>
      <c r="AF118" s="58">
        <v>750000</v>
      </c>
      <c r="AG118" s="53"/>
      <c r="AH118" s="47"/>
      <c r="AI118" s="53">
        <f t="shared" ref="AI118:AI129" si="30">SUM(S118:AH118)</f>
        <v>750000</v>
      </c>
      <c r="AJ118" s="51"/>
      <c r="AK118" s="218">
        <f t="shared" si="19"/>
        <v>0</v>
      </c>
      <c r="AM118" s="55"/>
    </row>
    <row r="119" spans="1:39" s="36" customFormat="1" ht="15.75" x14ac:dyDescent="0.25">
      <c r="A119" s="113" t="s">
        <v>734</v>
      </c>
      <c r="B119" s="35" t="s">
        <v>652</v>
      </c>
      <c r="C119" s="52" t="s">
        <v>45</v>
      </c>
      <c r="D119" s="52" t="s">
        <v>45</v>
      </c>
      <c r="E119" s="35" t="s">
        <v>701</v>
      </c>
      <c r="F119" s="52" t="s">
        <v>623</v>
      </c>
      <c r="G119" s="52"/>
      <c r="H119" s="52">
        <v>44531</v>
      </c>
      <c r="I119" s="52">
        <v>44561</v>
      </c>
      <c r="J119" s="50">
        <f t="shared" si="28"/>
        <v>30</v>
      </c>
      <c r="K119" s="52" t="s">
        <v>320</v>
      </c>
      <c r="L119" s="52">
        <f t="shared" si="26"/>
        <v>44591</v>
      </c>
      <c r="M119" s="52"/>
      <c r="N119" s="52"/>
      <c r="O119" s="50">
        <f t="shared" si="29"/>
        <v>-1481.4285714285713</v>
      </c>
      <c r="P119" s="50"/>
      <c r="Q119" s="50"/>
      <c r="R119" s="53">
        <v>750000</v>
      </c>
      <c r="S119" s="115">
        <v>0</v>
      </c>
      <c r="T119" s="115">
        <v>0</v>
      </c>
      <c r="U119" s="115">
        <v>0</v>
      </c>
      <c r="V119" s="115">
        <v>0</v>
      </c>
      <c r="W119" s="115">
        <v>0</v>
      </c>
      <c r="X119" s="115">
        <v>0</v>
      </c>
      <c r="Y119" s="115">
        <v>0</v>
      </c>
      <c r="Z119" s="115">
        <v>0</v>
      </c>
      <c r="AA119" s="115">
        <v>0</v>
      </c>
      <c r="AB119" s="115">
        <v>0</v>
      </c>
      <c r="AC119" s="115">
        <v>0</v>
      </c>
      <c r="AD119" s="53"/>
      <c r="AE119" s="53"/>
      <c r="AF119" s="275">
        <v>750000</v>
      </c>
      <c r="AG119" s="53"/>
      <c r="AH119" s="47"/>
      <c r="AI119" s="53">
        <f t="shared" si="30"/>
        <v>750000</v>
      </c>
      <c r="AJ119" s="51"/>
      <c r="AK119" s="218">
        <f t="shared" si="19"/>
        <v>0</v>
      </c>
      <c r="AM119" s="55"/>
    </row>
    <row r="120" spans="1:39" s="36" customFormat="1" ht="15.75" x14ac:dyDescent="0.25">
      <c r="A120" s="113" t="s">
        <v>475</v>
      </c>
      <c r="B120" s="35" t="s">
        <v>538</v>
      </c>
      <c r="C120" s="52" t="s">
        <v>45</v>
      </c>
      <c r="D120" s="52" t="s">
        <v>45</v>
      </c>
      <c r="E120" s="35" t="s">
        <v>539</v>
      </c>
      <c r="F120" s="52" t="s">
        <v>623</v>
      </c>
      <c r="G120" s="52"/>
      <c r="H120" s="52">
        <v>44593</v>
      </c>
      <c r="I120" s="52">
        <v>44653</v>
      </c>
      <c r="J120" s="50">
        <f t="shared" si="28"/>
        <v>60</v>
      </c>
      <c r="K120" s="52" t="s">
        <v>320</v>
      </c>
      <c r="L120" s="52">
        <f t="shared" si="26"/>
        <v>44683</v>
      </c>
      <c r="M120" s="52"/>
      <c r="N120" s="52"/>
      <c r="O120" s="50">
        <f t="shared" si="29"/>
        <v>-1484.4850498338872</v>
      </c>
      <c r="P120" s="50"/>
      <c r="Q120" s="50"/>
      <c r="R120" s="58">
        <v>14000000</v>
      </c>
      <c r="S120" s="115">
        <v>0</v>
      </c>
      <c r="T120" s="115">
        <v>0</v>
      </c>
      <c r="U120" s="115">
        <v>0</v>
      </c>
      <c r="V120" s="115">
        <v>0</v>
      </c>
      <c r="W120" s="115">
        <v>0</v>
      </c>
      <c r="X120" s="115">
        <v>0</v>
      </c>
      <c r="Y120" s="115">
        <v>0</v>
      </c>
      <c r="Z120" s="115">
        <v>0</v>
      </c>
      <c r="AA120" s="115">
        <v>0</v>
      </c>
      <c r="AB120" s="115">
        <v>0</v>
      </c>
      <c r="AC120" s="115">
        <v>0</v>
      </c>
      <c r="AD120" s="53"/>
      <c r="AE120" s="53"/>
      <c r="AF120" s="275">
        <f>14000000-3000000</f>
        <v>11000000</v>
      </c>
      <c r="AG120" s="275">
        <v>3000000</v>
      </c>
      <c r="AH120" s="47"/>
      <c r="AI120" s="53">
        <f t="shared" si="30"/>
        <v>14000000</v>
      </c>
      <c r="AJ120" s="51"/>
      <c r="AK120" s="218">
        <f t="shared" si="19"/>
        <v>0</v>
      </c>
    </row>
    <row r="121" spans="1:39" s="36" customFormat="1" ht="15.75" x14ac:dyDescent="0.25">
      <c r="A121" s="113" t="s">
        <v>475</v>
      </c>
      <c r="B121" s="35" t="s">
        <v>703</v>
      </c>
      <c r="C121" s="52" t="s">
        <v>664</v>
      </c>
      <c r="D121" s="52" t="s">
        <v>45</v>
      </c>
      <c r="E121" s="35" t="s">
        <v>702</v>
      </c>
      <c r="F121" s="52" t="s">
        <v>623</v>
      </c>
      <c r="G121" s="52"/>
      <c r="H121" s="52"/>
      <c r="I121" s="52"/>
      <c r="J121" s="50">
        <f t="shared" si="28"/>
        <v>0</v>
      </c>
      <c r="K121" s="52" t="s">
        <v>320</v>
      </c>
      <c r="L121" s="52">
        <v>44652</v>
      </c>
      <c r="M121" s="52"/>
      <c r="N121" s="52"/>
      <c r="O121" s="50">
        <f t="shared" si="29"/>
        <v>-1483.4551495016613</v>
      </c>
      <c r="P121" s="50"/>
      <c r="Q121" s="50"/>
      <c r="R121" s="53">
        <v>2400000</v>
      </c>
      <c r="S121" s="115">
        <v>0</v>
      </c>
      <c r="T121" s="115">
        <v>0</v>
      </c>
      <c r="U121" s="115">
        <v>0</v>
      </c>
      <c r="V121" s="115">
        <v>0</v>
      </c>
      <c r="W121" s="115">
        <v>0</v>
      </c>
      <c r="X121" s="115">
        <v>0</v>
      </c>
      <c r="Y121" s="115">
        <v>0</v>
      </c>
      <c r="Z121" s="115">
        <v>0</v>
      </c>
      <c r="AA121" s="115">
        <v>0</v>
      </c>
      <c r="AB121" s="115">
        <v>0</v>
      </c>
      <c r="AC121" s="115">
        <v>0</v>
      </c>
      <c r="AD121" s="53"/>
      <c r="AE121" s="53"/>
      <c r="AF121" s="275">
        <v>2400000</v>
      </c>
      <c r="AG121" s="53"/>
      <c r="AH121" s="47"/>
      <c r="AI121" s="53">
        <f t="shared" si="30"/>
        <v>2400000</v>
      </c>
      <c r="AJ121" s="51"/>
      <c r="AK121" s="218">
        <f t="shared" si="19"/>
        <v>0</v>
      </c>
      <c r="AM121" s="55"/>
    </row>
    <row r="122" spans="1:39" s="36" customFormat="1" ht="15.75" x14ac:dyDescent="0.25">
      <c r="A122" s="113" t="s">
        <v>475</v>
      </c>
      <c r="B122" s="35" t="s">
        <v>655</v>
      </c>
      <c r="C122" s="52" t="s">
        <v>45</v>
      </c>
      <c r="D122" s="52" t="s">
        <v>45</v>
      </c>
      <c r="E122" s="35"/>
      <c r="F122" s="52" t="s">
        <v>623</v>
      </c>
      <c r="G122" s="52"/>
      <c r="H122" s="52"/>
      <c r="I122" s="52"/>
      <c r="J122" s="50">
        <f t="shared" si="28"/>
        <v>0</v>
      </c>
      <c r="K122" s="52" t="s">
        <v>320</v>
      </c>
      <c r="L122" s="52">
        <v>44591</v>
      </c>
      <c r="M122" s="52"/>
      <c r="N122" s="52"/>
      <c r="O122" s="50">
        <f t="shared" si="29"/>
        <v>-1481.4285714285713</v>
      </c>
      <c r="P122" s="50"/>
      <c r="Q122" s="50"/>
      <c r="R122" s="53"/>
      <c r="S122" s="115">
        <v>0</v>
      </c>
      <c r="T122" s="115">
        <v>0</v>
      </c>
      <c r="U122" s="115">
        <v>0</v>
      </c>
      <c r="V122" s="115">
        <v>0</v>
      </c>
      <c r="W122" s="115">
        <v>0</v>
      </c>
      <c r="X122" s="115">
        <v>0</v>
      </c>
      <c r="Y122" s="115">
        <v>0</v>
      </c>
      <c r="Z122" s="115">
        <v>0</v>
      </c>
      <c r="AA122" s="115">
        <v>0</v>
      </c>
      <c r="AB122" s="115">
        <v>0</v>
      </c>
      <c r="AC122" s="115">
        <v>0</v>
      </c>
      <c r="AD122" s="53"/>
      <c r="AE122" s="53"/>
      <c r="AF122" s="275"/>
      <c r="AG122" s="53"/>
      <c r="AH122" s="47"/>
      <c r="AI122" s="53">
        <f t="shared" si="30"/>
        <v>0</v>
      </c>
      <c r="AJ122" s="51"/>
      <c r="AK122" s="218">
        <f t="shared" si="19"/>
        <v>0</v>
      </c>
    </row>
    <row r="123" spans="1:39" s="36" customFormat="1" ht="15.75" x14ac:dyDescent="0.25">
      <c r="A123" s="104" t="s">
        <v>143</v>
      </c>
      <c r="B123" s="324" t="s">
        <v>145</v>
      </c>
      <c r="C123" s="52" t="s">
        <v>45</v>
      </c>
      <c r="D123" s="87" t="s">
        <v>45</v>
      </c>
      <c r="E123" s="105" t="s">
        <v>146</v>
      </c>
      <c r="F123" s="52" t="s">
        <v>623</v>
      </c>
      <c r="G123" s="52"/>
      <c r="H123" s="347">
        <v>44470</v>
      </c>
      <c r="I123" s="87">
        <v>44515</v>
      </c>
      <c r="J123" s="50">
        <f t="shared" si="28"/>
        <v>45</v>
      </c>
      <c r="K123" s="52" t="s">
        <v>320</v>
      </c>
      <c r="L123" s="87">
        <v>44593</v>
      </c>
      <c r="M123" s="87">
        <v>44833.8</v>
      </c>
      <c r="N123" s="87"/>
      <c r="O123" s="50">
        <f t="shared" si="29"/>
        <v>8.0000000000000977</v>
      </c>
      <c r="P123" s="50"/>
      <c r="Q123" s="88"/>
      <c r="R123" s="58">
        <v>600000</v>
      </c>
      <c r="S123" s="115">
        <v>0</v>
      </c>
      <c r="T123" s="115">
        <v>0</v>
      </c>
      <c r="U123" s="115">
        <v>0</v>
      </c>
      <c r="V123" s="115">
        <v>0</v>
      </c>
      <c r="W123" s="115">
        <v>0</v>
      </c>
      <c r="X123" s="115">
        <v>0</v>
      </c>
      <c r="Y123" s="115">
        <v>0</v>
      </c>
      <c r="Z123" s="115">
        <v>0</v>
      </c>
      <c r="AA123" s="115">
        <v>0</v>
      </c>
      <c r="AB123" s="115">
        <v>0</v>
      </c>
      <c r="AC123" s="115">
        <v>0</v>
      </c>
      <c r="AD123" s="275">
        <v>100000</v>
      </c>
      <c r="AE123" s="275">
        <v>150000</v>
      </c>
      <c r="AF123" s="275">
        <v>300000</v>
      </c>
      <c r="AG123" s="53"/>
      <c r="AH123" s="47"/>
      <c r="AI123" s="53">
        <f t="shared" si="30"/>
        <v>550000</v>
      </c>
      <c r="AJ123" s="51"/>
      <c r="AK123" s="218">
        <f t="shared" si="19"/>
        <v>-50000</v>
      </c>
    </row>
    <row r="124" spans="1:39" s="36" customFormat="1" ht="15.75" x14ac:dyDescent="0.25">
      <c r="A124" s="104" t="s">
        <v>156</v>
      </c>
      <c r="B124" s="324" t="s">
        <v>157</v>
      </c>
      <c r="C124" s="87" t="s">
        <v>563</v>
      </c>
      <c r="D124" s="87" t="s">
        <v>704</v>
      </c>
      <c r="E124" s="65" t="s">
        <v>158</v>
      </c>
      <c r="F124" s="52" t="s">
        <v>623</v>
      </c>
      <c r="G124" s="52">
        <v>44470</v>
      </c>
      <c r="H124" s="329">
        <v>44362</v>
      </c>
      <c r="I124" s="347">
        <v>44479</v>
      </c>
      <c r="J124" s="50">
        <f t="shared" si="28"/>
        <v>117</v>
      </c>
      <c r="K124" s="52" t="s">
        <v>320</v>
      </c>
      <c r="L124" s="87">
        <f>I124+30</f>
        <v>44509</v>
      </c>
      <c r="M124" s="52">
        <v>44754</v>
      </c>
      <c r="N124" s="52"/>
      <c r="O124" s="50">
        <f t="shared" si="29"/>
        <v>8.1395348837209305</v>
      </c>
      <c r="P124" s="50"/>
      <c r="Q124" s="50"/>
      <c r="R124" s="53">
        <v>2000000</v>
      </c>
      <c r="S124" s="115">
        <v>0</v>
      </c>
      <c r="T124" s="115">
        <v>0</v>
      </c>
      <c r="U124" s="115">
        <v>0</v>
      </c>
      <c r="V124" s="115">
        <v>0</v>
      </c>
      <c r="W124" s="115">
        <v>0</v>
      </c>
      <c r="X124" s="115">
        <v>0</v>
      </c>
      <c r="Y124" s="115">
        <v>0</v>
      </c>
      <c r="Z124" s="115">
        <v>0</v>
      </c>
      <c r="AA124" s="115">
        <v>0</v>
      </c>
      <c r="AB124" s="115">
        <v>0</v>
      </c>
      <c r="AC124" s="115">
        <v>0</v>
      </c>
      <c r="AD124" s="275">
        <v>200000</v>
      </c>
      <c r="AE124" s="275">
        <v>200000</v>
      </c>
      <c r="AF124" s="275">
        <v>1400000</v>
      </c>
      <c r="AG124" s="53"/>
      <c r="AH124" s="47"/>
      <c r="AI124" s="53">
        <f t="shared" si="30"/>
        <v>1800000</v>
      </c>
      <c r="AJ124" s="51"/>
      <c r="AK124" s="218">
        <f t="shared" si="19"/>
        <v>-200000</v>
      </c>
      <c r="AM124" s="55"/>
    </row>
    <row r="125" spans="1:39" s="36" customFormat="1" ht="15.75" x14ac:dyDescent="0.25">
      <c r="A125" s="104" t="s">
        <v>159</v>
      </c>
      <c r="B125" s="324" t="s">
        <v>428</v>
      </c>
      <c r="C125" s="87" t="s">
        <v>563</v>
      </c>
      <c r="D125" s="87" t="s">
        <v>704</v>
      </c>
      <c r="E125" s="65" t="s">
        <v>158</v>
      </c>
      <c r="F125" s="52" t="s">
        <v>623</v>
      </c>
      <c r="G125" s="52"/>
      <c r="H125" s="347">
        <v>44484</v>
      </c>
      <c r="I125" s="87">
        <f>H125+45</f>
        <v>44529</v>
      </c>
      <c r="J125" s="50">
        <f t="shared" si="28"/>
        <v>45</v>
      </c>
      <c r="K125" s="52" t="s">
        <v>320</v>
      </c>
      <c r="L125" s="87">
        <f>I125+30</f>
        <v>44559</v>
      </c>
      <c r="M125" s="52">
        <v>44701.8</v>
      </c>
      <c r="N125" s="52"/>
      <c r="O125" s="50">
        <f t="shared" si="29"/>
        <v>4.7441860465117243</v>
      </c>
      <c r="P125" s="50"/>
      <c r="Q125" s="50"/>
      <c r="R125" s="53">
        <v>550000</v>
      </c>
      <c r="S125" s="115">
        <v>0</v>
      </c>
      <c r="T125" s="115">
        <v>0</v>
      </c>
      <c r="U125" s="115">
        <v>0</v>
      </c>
      <c r="V125" s="115">
        <v>0</v>
      </c>
      <c r="W125" s="115">
        <v>0</v>
      </c>
      <c r="X125" s="115">
        <v>0</v>
      </c>
      <c r="Y125" s="115">
        <v>0</v>
      </c>
      <c r="Z125" s="115">
        <v>0</v>
      </c>
      <c r="AA125" s="115">
        <v>0</v>
      </c>
      <c r="AB125" s="115">
        <v>0</v>
      </c>
      <c r="AC125" s="115">
        <v>0</v>
      </c>
      <c r="AD125" s="275">
        <v>50000</v>
      </c>
      <c r="AE125" s="275">
        <v>50000</v>
      </c>
      <c r="AF125" s="275">
        <v>400000</v>
      </c>
      <c r="AG125" s="53"/>
      <c r="AH125" s="47"/>
      <c r="AI125" s="53">
        <f t="shared" si="30"/>
        <v>500000</v>
      </c>
      <c r="AJ125" s="51"/>
      <c r="AK125" s="218">
        <f t="shared" si="19"/>
        <v>-50000</v>
      </c>
      <c r="AM125" s="55"/>
    </row>
    <row r="126" spans="1:39" s="36" customFormat="1" ht="15.75" x14ac:dyDescent="0.25">
      <c r="A126" s="104" t="s">
        <v>394</v>
      </c>
      <c r="B126" s="324" t="s">
        <v>580</v>
      </c>
      <c r="C126" s="52" t="s">
        <v>45</v>
      </c>
      <c r="D126" s="87" t="s">
        <v>45</v>
      </c>
      <c r="E126" s="65" t="s">
        <v>149</v>
      </c>
      <c r="F126" s="52" t="s">
        <v>623</v>
      </c>
      <c r="G126" s="52"/>
      <c r="H126" s="347">
        <v>44491</v>
      </c>
      <c r="I126" s="87">
        <f>H126+45</f>
        <v>44536</v>
      </c>
      <c r="J126" s="50">
        <f t="shared" si="28"/>
        <v>45</v>
      </c>
      <c r="K126" s="52" t="s">
        <v>320</v>
      </c>
      <c r="L126" s="87">
        <v>44593</v>
      </c>
      <c r="M126" s="52">
        <v>44833.8</v>
      </c>
      <c r="N126" s="52"/>
      <c r="O126" s="50">
        <f t="shared" si="29"/>
        <v>8.0000000000000977</v>
      </c>
      <c r="P126" s="50"/>
      <c r="Q126" s="50"/>
      <c r="R126" s="53">
        <v>750000</v>
      </c>
      <c r="S126" s="115">
        <v>0</v>
      </c>
      <c r="T126" s="115">
        <v>0</v>
      </c>
      <c r="U126" s="115">
        <v>0</v>
      </c>
      <c r="V126" s="115">
        <v>0</v>
      </c>
      <c r="W126" s="115">
        <v>0</v>
      </c>
      <c r="X126" s="115">
        <v>0</v>
      </c>
      <c r="Y126" s="115">
        <v>0</v>
      </c>
      <c r="Z126" s="115">
        <v>0</v>
      </c>
      <c r="AA126" s="115">
        <v>0</v>
      </c>
      <c r="AB126" s="115">
        <v>0</v>
      </c>
      <c r="AC126" s="115">
        <v>0</v>
      </c>
      <c r="AD126" s="275">
        <v>150000</v>
      </c>
      <c r="AE126" s="275">
        <v>150000</v>
      </c>
      <c r="AF126" s="275">
        <v>300000</v>
      </c>
      <c r="AG126" s="53"/>
      <c r="AH126" s="47"/>
      <c r="AI126" s="53">
        <f t="shared" si="30"/>
        <v>600000</v>
      </c>
      <c r="AJ126" s="51"/>
      <c r="AK126" s="218">
        <f t="shared" si="19"/>
        <v>-150000</v>
      </c>
      <c r="AM126" s="55"/>
    </row>
    <row r="127" spans="1:39" s="36" customFormat="1" ht="15.75" x14ac:dyDescent="0.25">
      <c r="A127" s="113" t="s">
        <v>228</v>
      </c>
      <c r="B127" s="352" t="s">
        <v>579</v>
      </c>
      <c r="C127" s="52" t="s">
        <v>45</v>
      </c>
      <c r="D127" s="87" t="s">
        <v>45</v>
      </c>
      <c r="E127" s="56" t="s">
        <v>230</v>
      </c>
      <c r="F127" s="52" t="s">
        <v>623</v>
      </c>
      <c r="G127" s="52"/>
      <c r="H127" s="347">
        <v>44498</v>
      </c>
      <c r="I127" s="87">
        <f>H127+45</f>
        <v>44543</v>
      </c>
      <c r="J127" s="50">
        <f t="shared" si="28"/>
        <v>45</v>
      </c>
      <c r="K127" s="52" t="s">
        <v>320</v>
      </c>
      <c r="L127" s="87">
        <f>I127+30</f>
        <v>44573</v>
      </c>
      <c r="M127" s="52"/>
      <c r="N127" s="52"/>
      <c r="O127" s="50">
        <f t="shared" si="29"/>
        <v>-1480.8305647840532</v>
      </c>
      <c r="P127" s="50"/>
      <c r="Q127" s="52"/>
      <c r="R127" s="53">
        <v>2229000</v>
      </c>
      <c r="S127" s="115">
        <v>0</v>
      </c>
      <c r="T127" s="115">
        <v>0</v>
      </c>
      <c r="U127" s="115">
        <v>0</v>
      </c>
      <c r="V127" s="115">
        <v>0</v>
      </c>
      <c r="W127" s="115">
        <v>0</v>
      </c>
      <c r="X127" s="115">
        <v>0</v>
      </c>
      <c r="Y127" s="115">
        <v>0</v>
      </c>
      <c r="Z127" s="115">
        <v>0</v>
      </c>
      <c r="AA127" s="115">
        <v>0</v>
      </c>
      <c r="AB127" s="115">
        <v>0</v>
      </c>
      <c r="AC127" s="115">
        <v>0</v>
      </c>
      <c r="AD127" s="58"/>
      <c r="AE127" s="58"/>
      <c r="AF127" s="275">
        <v>2229000</v>
      </c>
      <c r="AG127" s="53"/>
      <c r="AH127" s="47"/>
      <c r="AI127" s="53">
        <f t="shared" si="30"/>
        <v>2229000</v>
      </c>
      <c r="AJ127" s="51"/>
      <c r="AK127" s="218">
        <f t="shared" si="19"/>
        <v>0</v>
      </c>
    </row>
    <row r="128" spans="1:39" s="36" customFormat="1" ht="15.75" x14ac:dyDescent="0.25">
      <c r="A128" s="113" t="s">
        <v>578</v>
      </c>
      <c r="B128" s="186" t="s">
        <v>443</v>
      </c>
      <c r="C128" s="52" t="s">
        <v>45</v>
      </c>
      <c r="D128" s="87" t="s">
        <v>45</v>
      </c>
      <c r="E128" s="56" t="s">
        <v>230</v>
      </c>
      <c r="F128" s="52" t="s">
        <v>623</v>
      </c>
      <c r="G128" s="52"/>
      <c r="H128" s="347">
        <v>44498</v>
      </c>
      <c r="I128" s="87">
        <f>H128+45</f>
        <v>44543</v>
      </c>
      <c r="J128" s="50">
        <f t="shared" si="28"/>
        <v>45</v>
      </c>
      <c r="K128" s="52" t="s">
        <v>320</v>
      </c>
      <c r="L128" s="87">
        <f>I128+30</f>
        <v>44573</v>
      </c>
      <c r="M128" s="52"/>
      <c r="N128" s="52"/>
      <c r="O128" s="50">
        <f t="shared" si="29"/>
        <v>-1480.8305647840532</v>
      </c>
      <c r="P128" s="50"/>
      <c r="Q128" s="50"/>
      <c r="R128" s="53">
        <v>360000</v>
      </c>
      <c r="S128" s="115">
        <v>0</v>
      </c>
      <c r="T128" s="115">
        <v>0</v>
      </c>
      <c r="U128" s="115">
        <v>0</v>
      </c>
      <c r="V128" s="115">
        <v>0</v>
      </c>
      <c r="W128" s="115">
        <v>0</v>
      </c>
      <c r="X128" s="115">
        <v>0</v>
      </c>
      <c r="Y128" s="115">
        <v>0</v>
      </c>
      <c r="Z128" s="115">
        <v>0</v>
      </c>
      <c r="AA128" s="115">
        <v>0</v>
      </c>
      <c r="AB128" s="115">
        <v>0</v>
      </c>
      <c r="AC128" s="115">
        <v>0</v>
      </c>
      <c r="AD128" s="53"/>
      <c r="AE128" s="53"/>
      <c r="AF128" s="275">
        <v>360000</v>
      </c>
      <c r="AG128" s="53"/>
      <c r="AH128" s="47"/>
      <c r="AI128" s="53">
        <f t="shared" si="30"/>
        <v>360000</v>
      </c>
      <c r="AJ128" s="51"/>
      <c r="AK128" s="218">
        <f t="shared" si="19"/>
        <v>0</v>
      </c>
    </row>
    <row r="129" spans="1:39" s="36" customFormat="1" ht="15.75" x14ac:dyDescent="0.25">
      <c r="A129" s="113" t="s">
        <v>735</v>
      </c>
      <c r="B129" s="35" t="s">
        <v>736</v>
      </c>
      <c r="C129" s="52" t="s">
        <v>45</v>
      </c>
      <c r="D129" s="87" t="s">
        <v>45</v>
      </c>
      <c r="E129" s="57" t="s">
        <v>149</v>
      </c>
      <c r="F129" s="52" t="s">
        <v>623</v>
      </c>
      <c r="G129" s="52"/>
      <c r="H129" s="87">
        <v>44501</v>
      </c>
      <c r="I129" s="87">
        <v>44531</v>
      </c>
      <c r="J129" s="50">
        <f t="shared" si="28"/>
        <v>30</v>
      </c>
      <c r="K129" s="52" t="s">
        <v>320</v>
      </c>
      <c r="L129" s="87">
        <v>44593</v>
      </c>
      <c r="M129" s="52"/>
      <c r="N129" s="52"/>
      <c r="O129" s="50"/>
      <c r="P129" s="50"/>
      <c r="Q129" s="50"/>
      <c r="R129" s="53">
        <v>600000</v>
      </c>
      <c r="S129" s="115">
        <v>0</v>
      </c>
      <c r="T129" s="115">
        <v>0</v>
      </c>
      <c r="U129" s="115">
        <v>0</v>
      </c>
      <c r="V129" s="115">
        <v>0</v>
      </c>
      <c r="W129" s="115">
        <v>0</v>
      </c>
      <c r="X129" s="115">
        <v>0</v>
      </c>
      <c r="Y129" s="115">
        <v>0</v>
      </c>
      <c r="Z129" s="115">
        <v>0</v>
      </c>
      <c r="AA129" s="115">
        <v>0</v>
      </c>
      <c r="AB129" s="115">
        <v>0</v>
      </c>
      <c r="AC129" s="115">
        <v>0</v>
      </c>
      <c r="AD129" s="53"/>
      <c r="AE129" s="53"/>
      <c r="AF129" s="58">
        <v>600000</v>
      </c>
      <c r="AG129" s="53"/>
      <c r="AH129" s="47"/>
      <c r="AI129" s="53">
        <f t="shared" si="30"/>
        <v>600000</v>
      </c>
      <c r="AJ129" s="51"/>
      <c r="AK129" s="218">
        <f t="shared" si="19"/>
        <v>0</v>
      </c>
      <c r="AM129" s="55"/>
    </row>
    <row r="130" spans="1:39" s="36" customFormat="1" ht="15.75" x14ac:dyDescent="0.25">
      <c r="A130" s="113" t="s">
        <v>737</v>
      </c>
      <c r="B130" s="35" t="s">
        <v>740</v>
      </c>
      <c r="C130" s="52" t="s">
        <v>45</v>
      </c>
      <c r="D130" s="87" t="s">
        <v>45</v>
      </c>
      <c r="E130" s="57" t="s">
        <v>149</v>
      </c>
      <c r="F130" s="52" t="s">
        <v>623</v>
      </c>
      <c r="G130" s="52"/>
      <c r="H130" s="87">
        <v>44501</v>
      </c>
      <c r="I130" s="87">
        <v>44531</v>
      </c>
      <c r="J130" s="50">
        <f t="shared" si="28"/>
        <v>30</v>
      </c>
      <c r="K130" s="52" t="s">
        <v>320</v>
      </c>
      <c r="L130" s="87">
        <v>44593</v>
      </c>
      <c r="M130" s="52"/>
      <c r="N130" s="52"/>
      <c r="O130" s="50"/>
      <c r="P130" s="50"/>
      <c r="Q130" s="50"/>
      <c r="R130" s="53"/>
      <c r="S130" s="115">
        <v>0</v>
      </c>
      <c r="T130" s="115">
        <v>0</v>
      </c>
      <c r="U130" s="115">
        <v>0</v>
      </c>
      <c r="V130" s="115">
        <v>0</v>
      </c>
      <c r="W130" s="115">
        <v>0</v>
      </c>
      <c r="X130" s="115">
        <v>0</v>
      </c>
      <c r="Y130" s="115">
        <v>0</v>
      </c>
      <c r="Z130" s="115">
        <v>0</v>
      </c>
      <c r="AA130" s="115">
        <v>0</v>
      </c>
      <c r="AB130" s="115">
        <v>0</v>
      </c>
      <c r="AC130" s="115">
        <v>0</v>
      </c>
      <c r="AD130" s="53"/>
      <c r="AE130" s="53"/>
      <c r="AF130" s="58"/>
      <c r="AG130" s="53"/>
      <c r="AH130" s="47"/>
      <c r="AI130" s="53"/>
      <c r="AJ130" s="51"/>
      <c r="AK130" s="218">
        <f t="shared" si="19"/>
        <v>0</v>
      </c>
    </row>
    <row r="131" spans="1:39" s="36" customFormat="1" ht="15.75" x14ac:dyDescent="0.25">
      <c r="A131" s="113" t="s">
        <v>738</v>
      </c>
      <c r="B131" s="35" t="s">
        <v>740</v>
      </c>
      <c r="C131" s="52" t="s">
        <v>45</v>
      </c>
      <c r="D131" s="87" t="s">
        <v>45</v>
      </c>
      <c r="E131" s="57" t="s">
        <v>149</v>
      </c>
      <c r="F131" s="52" t="s">
        <v>623</v>
      </c>
      <c r="G131" s="52"/>
      <c r="H131" s="87">
        <v>44501</v>
      </c>
      <c r="I131" s="87">
        <v>44531</v>
      </c>
      <c r="J131" s="50">
        <f t="shared" si="28"/>
        <v>30</v>
      </c>
      <c r="K131" s="52" t="s">
        <v>320</v>
      </c>
      <c r="L131" s="87">
        <v>44593</v>
      </c>
      <c r="M131" s="52"/>
      <c r="N131" s="52"/>
      <c r="O131" s="50"/>
      <c r="P131" s="50"/>
      <c r="Q131" s="50"/>
      <c r="R131" s="53"/>
      <c r="S131" s="115">
        <v>0</v>
      </c>
      <c r="T131" s="115">
        <v>0</v>
      </c>
      <c r="U131" s="115">
        <v>0</v>
      </c>
      <c r="V131" s="115">
        <v>0</v>
      </c>
      <c r="W131" s="115">
        <v>0</v>
      </c>
      <c r="X131" s="115">
        <v>0</v>
      </c>
      <c r="Y131" s="115">
        <v>0</v>
      </c>
      <c r="Z131" s="115">
        <v>0</v>
      </c>
      <c r="AA131" s="115">
        <v>0</v>
      </c>
      <c r="AB131" s="115">
        <v>0</v>
      </c>
      <c r="AC131" s="115">
        <v>0</v>
      </c>
      <c r="AD131" s="53"/>
      <c r="AE131" s="53"/>
      <c r="AF131" s="58"/>
      <c r="AG131" s="53"/>
      <c r="AH131" s="47"/>
      <c r="AI131" s="53"/>
      <c r="AJ131" s="51"/>
      <c r="AK131" s="218">
        <f t="shared" si="19"/>
        <v>0</v>
      </c>
    </row>
    <row r="132" spans="1:39" s="36" customFormat="1" ht="15.75" x14ac:dyDescent="0.25">
      <c r="A132" s="99"/>
      <c r="B132" s="100"/>
      <c r="C132" s="91"/>
      <c r="D132" s="91"/>
      <c r="E132" s="100"/>
      <c r="F132" s="91"/>
      <c r="G132" s="91"/>
      <c r="H132" s="91"/>
      <c r="I132" s="91"/>
      <c r="J132" s="92"/>
      <c r="K132" s="91"/>
      <c r="L132" s="91"/>
      <c r="M132" s="91"/>
      <c r="N132" s="91"/>
      <c r="O132" s="92"/>
      <c r="P132" s="92"/>
      <c r="Q132" s="92"/>
      <c r="R132" s="59">
        <f t="shared" ref="R132:AG132" si="31">SUM(R89:R131)</f>
        <v>58072500</v>
      </c>
      <c r="S132" s="59">
        <f t="shared" si="31"/>
        <v>0</v>
      </c>
      <c r="T132" s="59">
        <f t="shared" si="31"/>
        <v>0</v>
      </c>
      <c r="U132" s="59">
        <f t="shared" si="31"/>
        <v>0</v>
      </c>
      <c r="V132" s="59">
        <f t="shared" si="31"/>
        <v>0</v>
      </c>
      <c r="W132" s="59">
        <f t="shared" si="31"/>
        <v>0</v>
      </c>
      <c r="X132" s="59">
        <f t="shared" si="31"/>
        <v>0</v>
      </c>
      <c r="Y132" s="59">
        <f t="shared" si="31"/>
        <v>0</v>
      </c>
      <c r="Z132" s="59">
        <f t="shared" si="31"/>
        <v>0</v>
      </c>
      <c r="AA132" s="59">
        <f t="shared" si="31"/>
        <v>0</v>
      </c>
      <c r="AB132" s="59">
        <f t="shared" si="31"/>
        <v>0</v>
      </c>
      <c r="AC132" s="59">
        <f t="shared" si="31"/>
        <v>0</v>
      </c>
      <c r="AD132" s="59">
        <f t="shared" si="31"/>
        <v>750000</v>
      </c>
      <c r="AE132" s="59">
        <f t="shared" si="31"/>
        <v>1300000</v>
      </c>
      <c r="AF132" s="59">
        <f t="shared" si="31"/>
        <v>48572500</v>
      </c>
      <c r="AG132" s="59">
        <f t="shared" si="31"/>
        <v>7000000</v>
      </c>
      <c r="AH132" s="47"/>
      <c r="AI132" s="53">
        <f>SUM(S132:AH132)</f>
        <v>57622500</v>
      </c>
      <c r="AJ132" s="51"/>
      <c r="AK132" s="218">
        <f t="shared" si="19"/>
        <v>-450000</v>
      </c>
      <c r="AL132" s="55"/>
    </row>
    <row r="133" spans="1:39" s="36" customFormat="1" ht="15.75" x14ac:dyDescent="0.25">
      <c r="A133" s="106" t="s">
        <v>582</v>
      </c>
      <c r="B133" s="107"/>
      <c r="C133" s="101"/>
      <c r="D133" s="102"/>
      <c r="E133" s="107"/>
      <c r="F133" s="102"/>
      <c r="G133" s="102"/>
      <c r="H133" s="276"/>
      <c r="I133" s="276"/>
      <c r="J133" s="84"/>
      <c r="K133" s="102"/>
      <c r="L133" s="102"/>
      <c r="M133" s="102"/>
      <c r="N133" s="102"/>
      <c r="O133" s="84"/>
      <c r="P133" s="84"/>
      <c r="Q133" s="84"/>
      <c r="R133" s="193"/>
      <c r="S133" s="85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47"/>
      <c r="AI133" s="85"/>
      <c r="AJ133" s="51"/>
      <c r="AK133" s="218">
        <f t="shared" ref="AK133:AK154" si="32">ROUND(AI133-R133,-1)</f>
        <v>0</v>
      </c>
    </row>
    <row r="134" spans="1:39" s="36" customFormat="1" ht="15.75" x14ac:dyDescent="0.25">
      <c r="A134" s="34" t="s">
        <v>430</v>
      </c>
      <c r="B134" s="34" t="s">
        <v>431</v>
      </c>
      <c r="C134" s="52" t="s">
        <v>581</v>
      </c>
      <c r="D134" s="52" t="s">
        <v>581</v>
      </c>
      <c r="E134" s="52" t="s">
        <v>581</v>
      </c>
      <c r="F134" s="52" t="s">
        <v>581</v>
      </c>
      <c r="G134" s="52"/>
      <c r="H134" s="52" t="s">
        <v>581</v>
      </c>
      <c r="I134" s="52" t="s">
        <v>581</v>
      </c>
      <c r="J134" s="52" t="s">
        <v>581</v>
      </c>
      <c r="K134" s="52" t="s">
        <v>320</v>
      </c>
      <c r="L134" s="52" t="s">
        <v>581</v>
      </c>
      <c r="M134" s="52" t="s">
        <v>581</v>
      </c>
      <c r="N134" s="52"/>
      <c r="O134" s="52" t="s">
        <v>581</v>
      </c>
      <c r="P134" s="52" t="s">
        <v>581</v>
      </c>
      <c r="Q134" s="52" t="s">
        <v>581</v>
      </c>
      <c r="R134" s="182">
        <v>137906</v>
      </c>
      <c r="S134" s="115">
        <v>61092</v>
      </c>
      <c r="T134" s="115">
        <v>0</v>
      </c>
      <c r="U134" s="115">
        <v>0</v>
      </c>
      <c r="V134" s="115">
        <v>0</v>
      </c>
      <c r="W134" s="115">
        <v>73311</v>
      </c>
      <c r="X134" s="115">
        <v>0</v>
      </c>
      <c r="Y134" s="115">
        <v>0</v>
      </c>
      <c r="Z134" s="115">
        <v>3503</v>
      </c>
      <c r="AA134" s="115">
        <v>0</v>
      </c>
      <c r="AB134" s="115">
        <v>0</v>
      </c>
      <c r="AC134" s="115">
        <v>0</v>
      </c>
      <c r="AD134" s="58"/>
      <c r="AE134" s="58"/>
      <c r="AF134" s="58"/>
      <c r="AG134" s="53"/>
      <c r="AH134" s="47"/>
      <c r="AI134" s="53">
        <f t="shared" ref="AI134:AI152" si="33">SUM(S134:AH134)</f>
        <v>137906</v>
      </c>
      <c r="AJ134" s="51"/>
      <c r="AK134" s="218">
        <f t="shared" si="32"/>
        <v>0</v>
      </c>
    </row>
    <row r="135" spans="1:39" s="36" customFormat="1" ht="15.75" x14ac:dyDescent="0.25">
      <c r="A135" s="60" t="s">
        <v>432</v>
      </c>
      <c r="B135" s="61" t="s">
        <v>433</v>
      </c>
      <c r="C135" s="52" t="s">
        <v>581</v>
      </c>
      <c r="D135" s="52" t="s">
        <v>581</v>
      </c>
      <c r="E135" s="52" t="s">
        <v>581</v>
      </c>
      <c r="F135" s="52" t="s">
        <v>581</v>
      </c>
      <c r="G135" s="52"/>
      <c r="H135" s="52" t="s">
        <v>581</v>
      </c>
      <c r="I135" s="52" t="s">
        <v>581</v>
      </c>
      <c r="J135" s="52" t="s">
        <v>581</v>
      </c>
      <c r="K135" s="52" t="s">
        <v>320</v>
      </c>
      <c r="L135" s="52" t="s">
        <v>581</v>
      </c>
      <c r="M135" s="52" t="s">
        <v>581</v>
      </c>
      <c r="N135" s="87"/>
      <c r="O135" s="52" t="s">
        <v>581</v>
      </c>
      <c r="P135" s="52" t="s">
        <v>581</v>
      </c>
      <c r="Q135" s="52" t="s">
        <v>581</v>
      </c>
      <c r="R135" s="182">
        <v>136537</v>
      </c>
      <c r="S135" s="115">
        <v>61092</v>
      </c>
      <c r="T135" s="115">
        <v>0</v>
      </c>
      <c r="U135" s="115">
        <v>0</v>
      </c>
      <c r="V135" s="115">
        <v>0</v>
      </c>
      <c r="W135" s="115">
        <v>73311</v>
      </c>
      <c r="X135" s="115">
        <v>0</v>
      </c>
      <c r="Y135" s="115">
        <v>0</v>
      </c>
      <c r="Z135" s="115">
        <v>2134</v>
      </c>
      <c r="AA135" s="115">
        <v>0</v>
      </c>
      <c r="AB135" s="115">
        <v>0</v>
      </c>
      <c r="AC135" s="115">
        <v>0</v>
      </c>
      <c r="AD135" s="58"/>
      <c r="AE135" s="58"/>
      <c r="AF135" s="58"/>
      <c r="AG135" s="53"/>
      <c r="AH135" s="47"/>
      <c r="AI135" s="53">
        <f t="shared" si="33"/>
        <v>136537</v>
      </c>
      <c r="AJ135" s="51"/>
      <c r="AK135" s="218">
        <f t="shared" si="32"/>
        <v>0</v>
      </c>
    </row>
    <row r="136" spans="1:39" s="36" customFormat="1" ht="15.75" x14ac:dyDescent="0.25">
      <c r="A136" s="111" t="s">
        <v>558</v>
      </c>
      <c r="B136" s="112" t="s">
        <v>641</v>
      </c>
      <c r="C136" s="341" t="s">
        <v>563</v>
      </c>
      <c r="D136" s="341" t="s">
        <v>671</v>
      </c>
      <c r="E136" s="310" t="s">
        <v>319</v>
      </c>
      <c r="F136" s="310" t="s">
        <v>319</v>
      </c>
      <c r="G136" s="310"/>
      <c r="H136" s="310" t="s">
        <v>319</v>
      </c>
      <c r="I136" s="310" t="s">
        <v>319</v>
      </c>
      <c r="J136" s="310" t="s">
        <v>319</v>
      </c>
      <c r="K136" s="52" t="s">
        <v>320</v>
      </c>
      <c r="L136" s="310" t="s">
        <v>319</v>
      </c>
      <c r="M136" s="310" t="s">
        <v>319</v>
      </c>
      <c r="N136" s="87"/>
      <c r="O136" s="310" t="s">
        <v>319</v>
      </c>
      <c r="P136" s="310" t="s">
        <v>319</v>
      </c>
      <c r="Q136" s="310" t="s">
        <v>319</v>
      </c>
      <c r="R136" s="306">
        <v>0</v>
      </c>
      <c r="S136" s="115">
        <v>0</v>
      </c>
      <c r="T136" s="115">
        <v>0</v>
      </c>
      <c r="U136" s="115">
        <v>0</v>
      </c>
      <c r="V136" s="115">
        <v>0</v>
      </c>
      <c r="W136" s="115">
        <v>0</v>
      </c>
      <c r="X136" s="115">
        <v>0</v>
      </c>
      <c r="Y136" s="115">
        <v>0</v>
      </c>
      <c r="Z136" s="115">
        <v>0</v>
      </c>
      <c r="AA136" s="115">
        <v>0</v>
      </c>
      <c r="AB136" s="115">
        <v>0</v>
      </c>
      <c r="AC136" s="115">
        <v>0</v>
      </c>
      <c r="AD136" s="58"/>
      <c r="AE136" s="58"/>
      <c r="AF136" s="58"/>
      <c r="AG136" s="53"/>
      <c r="AH136" s="47"/>
      <c r="AI136" s="53">
        <f>SUM(S136:AH136)</f>
        <v>0</v>
      </c>
      <c r="AJ136" s="51"/>
      <c r="AK136" s="218">
        <f t="shared" si="32"/>
        <v>0</v>
      </c>
    </row>
    <row r="137" spans="1:39" s="36" customFormat="1" ht="15.75" x14ac:dyDescent="0.25">
      <c r="A137" s="60" t="s">
        <v>161</v>
      </c>
      <c r="B137" s="61" t="s">
        <v>163</v>
      </c>
      <c r="C137" s="52" t="s">
        <v>165</v>
      </c>
      <c r="D137" s="52" t="s">
        <v>165</v>
      </c>
      <c r="E137" s="52" t="s">
        <v>165</v>
      </c>
      <c r="F137" s="52" t="s">
        <v>165</v>
      </c>
      <c r="G137" s="52"/>
      <c r="H137" s="52" t="s">
        <v>165</v>
      </c>
      <c r="I137" s="52" t="s">
        <v>165</v>
      </c>
      <c r="J137" s="52" t="s">
        <v>165</v>
      </c>
      <c r="K137" s="52" t="s">
        <v>320</v>
      </c>
      <c r="L137" s="52" t="s">
        <v>165</v>
      </c>
      <c r="M137" s="52" t="s">
        <v>165</v>
      </c>
      <c r="N137" s="87"/>
      <c r="O137" s="52" t="s">
        <v>165</v>
      </c>
      <c r="P137" s="52" t="s">
        <v>165</v>
      </c>
      <c r="Q137" s="52" t="s">
        <v>165</v>
      </c>
      <c r="R137" s="86">
        <v>0</v>
      </c>
      <c r="S137" s="115">
        <v>0</v>
      </c>
      <c r="T137" s="115">
        <v>0</v>
      </c>
      <c r="U137" s="115">
        <v>0</v>
      </c>
      <c r="V137" s="115">
        <v>0</v>
      </c>
      <c r="W137" s="115">
        <v>0</v>
      </c>
      <c r="X137" s="115">
        <v>0</v>
      </c>
      <c r="Y137" s="115">
        <v>0</v>
      </c>
      <c r="Z137" s="115">
        <v>0</v>
      </c>
      <c r="AA137" s="115">
        <v>0</v>
      </c>
      <c r="AB137" s="115">
        <v>0</v>
      </c>
      <c r="AC137" s="115">
        <v>0</v>
      </c>
      <c r="AD137" s="58"/>
      <c r="AE137" s="58"/>
      <c r="AF137" s="58"/>
      <c r="AG137" s="53"/>
      <c r="AH137" s="47"/>
      <c r="AI137" s="53">
        <f t="shared" si="33"/>
        <v>0</v>
      </c>
      <c r="AJ137" s="51"/>
      <c r="AK137" s="218">
        <f t="shared" si="32"/>
        <v>0</v>
      </c>
    </row>
    <row r="138" spans="1:39" s="36" customFormat="1" ht="15.75" x14ac:dyDescent="0.25">
      <c r="A138" s="111" t="s">
        <v>82</v>
      </c>
      <c r="B138" s="112" t="s">
        <v>532</v>
      </c>
      <c r="C138" s="52" t="s">
        <v>165</v>
      </c>
      <c r="D138" s="52" t="s">
        <v>165</v>
      </c>
      <c r="E138" s="340" t="s">
        <v>451</v>
      </c>
      <c r="F138" s="52" t="s">
        <v>165</v>
      </c>
      <c r="G138" s="52"/>
      <c r="H138" s="341">
        <v>44107</v>
      </c>
      <c r="I138" s="341">
        <v>44279</v>
      </c>
      <c r="J138" s="342">
        <f>I138-H138</f>
        <v>172</v>
      </c>
      <c r="K138" s="87" t="s">
        <v>370</v>
      </c>
      <c r="L138" s="341">
        <v>44389</v>
      </c>
      <c r="M138" s="341">
        <v>44569.599999999999</v>
      </c>
      <c r="N138" s="87"/>
      <c r="O138" s="52" t="s">
        <v>165</v>
      </c>
      <c r="P138" s="52" t="s">
        <v>165</v>
      </c>
      <c r="Q138" s="52" t="s">
        <v>165</v>
      </c>
      <c r="R138" s="86">
        <v>33274</v>
      </c>
      <c r="S138" s="115">
        <v>0</v>
      </c>
      <c r="T138" s="115">
        <v>0</v>
      </c>
      <c r="U138" s="115">
        <v>0</v>
      </c>
      <c r="V138" s="115">
        <v>0</v>
      </c>
      <c r="W138" s="115">
        <v>0</v>
      </c>
      <c r="X138" s="115">
        <v>33274</v>
      </c>
      <c r="Y138" s="115">
        <v>0</v>
      </c>
      <c r="Z138" s="115">
        <v>0</v>
      </c>
      <c r="AA138" s="115">
        <v>0</v>
      </c>
      <c r="AB138" s="115">
        <v>0</v>
      </c>
      <c r="AC138" s="115">
        <v>0</v>
      </c>
      <c r="AD138" s="58"/>
      <c r="AE138" s="58"/>
      <c r="AF138" s="58"/>
      <c r="AG138" s="53"/>
      <c r="AH138" s="47"/>
      <c r="AI138" s="53">
        <f>SUM(S138:AH138)</f>
        <v>33274</v>
      </c>
      <c r="AJ138" s="51"/>
      <c r="AK138" s="218">
        <f t="shared" si="32"/>
        <v>0</v>
      </c>
    </row>
    <row r="139" spans="1:39" s="36" customFormat="1" ht="15.75" x14ac:dyDescent="0.25">
      <c r="A139" s="244" t="s">
        <v>298</v>
      </c>
      <c r="B139" s="272" t="s">
        <v>299</v>
      </c>
      <c r="C139" s="341" t="s">
        <v>563</v>
      </c>
      <c r="D139" s="341" t="s">
        <v>671</v>
      </c>
      <c r="E139" s="310" t="s">
        <v>319</v>
      </c>
      <c r="F139" s="310" t="s">
        <v>319</v>
      </c>
      <c r="G139" s="310"/>
      <c r="H139" s="310" t="s">
        <v>319</v>
      </c>
      <c r="I139" s="310" t="s">
        <v>319</v>
      </c>
      <c r="J139" s="310" t="s">
        <v>319</v>
      </c>
      <c r="K139" s="52" t="s">
        <v>320</v>
      </c>
      <c r="L139" s="310" t="s">
        <v>319</v>
      </c>
      <c r="M139" s="310" t="s">
        <v>319</v>
      </c>
      <c r="N139" s="87"/>
      <c r="O139" s="310" t="s">
        <v>319</v>
      </c>
      <c r="P139" s="310" t="s">
        <v>319</v>
      </c>
      <c r="Q139" s="310" t="s">
        <v>319</v>
      </c>
      <c r="R139" s="306">
        <v>0</v>
      </c>
      <c r="S139" s="115">
        <v>0</v>
      </c>
      <c r="T139" s="115">
        <v>0</v>
      </c>
      <c r="U139" s="115">
        <v>0</v>
      </c>
      <c r="V139" s="115">
        <v>0</v>
      </c>
      <c r="W139" s="242">
        <v>0</v>
      </c>
      <c r="X139" s="115">
        <v>0</v>
      </c>
      <c r="Y139" s="115">
        <v>0</v>
      </c>
      <c r="Z139" s="115">
        <v>0</v>
      </c>
      <c r="AA139" s="115">
        <v>0</v>
      </c>
      <c r="AB139" s="115">
        <v>0</v>
      </c>
      <c r="AC139" s="115">
        <v>0</v>
      </c>
      <c r="AD139" s="53"/>
      <c r="AE139" s="53"/>
      <c r="AF139" s="53"/>
      <c r="AG139" s="53"/>
      <c r="AH139" s="47"/>
      <c r="AI139" s="53">
        <f>SUM(S139:AH139)</f>
        <v>0</v>
      </c>
      <c r="AJ139" s="51"/>
      <c r="AK139" s="218">
        <f t="shared" si="32"/>
        <v>0</v>
      </c>
    </row>
    <row r="140" spans="1:39" s="36" customFormat="1" ht="15.75" x14ac:dyDescent="0.25">
      <c r="A140" s="244" t="s">
        <v>316</v>
      </c>
      <c r="B140" s="244" t="s">
        <v>435</v>
      </c>
      <c r="C140" s="52" t="s">
        <v>319</v>
      </c>
      <c r="D140" s="52" t="s">
        <v>319</v>
      </c>
      <c r="E140" s="52" t="s">
        <v>319</v>
      </c>
      <c r="F140" s="52" t="s">
        <v>319</v>
      </c>
      <c r="G140" s="52"/>
      <c r="H140" s="52" t="s">
        <v>319</v>
      </c>
      <c r="I140" s="52" t="s">
        <v>319</v>
      </c>
      <c r="J140" s="52" t="s">
        <v>319</v>
      </c>
      <c r="K140" s="52" t="s">
        <v>320</v>
      </c>
      <c r="L140" s="52" t="s">
        <v>319</v>
      </c>
      <c r="M140" s="52" t="s">
        <v>319</v>
      </c>
      <c r="N140" s="87"/>
      <c r="O140" s="52" t="s">
        <v>319</v>
      </c>
      <c r="P140" s="52" t="s">
        <v>319</v>
      </c>
      <c r="Q140" s="52" t="s">
        <v>319</v>
      </c>
      <c r="R140" s="182">
        <v>461956</v>
      </c>
      <c r="S140" s="115">
        <v>0</v>
      </c>
      <c r="T140" s="115">
        <v>353138</v>
      </c>
      <c r="U140" s="115">
        <v>108818</v>
      </c>
      <c r="V140" s="115">
        <v>0</v>
      </c>
      <c r="W140" s="115">
        <v>0</v>
      </c>
      <c r="X140" s="115">
        <v>0</v>
      </c>
      <c r="Y140" s="115">
        <v>0</v>
      </c>
      <c r="Z140" s="115">
        <v>0</v>
      </c>
      <c r="AA140" s="115">
        <v>0</v>
      </c>
      <c r="AB140" s="115">
        <v>0</v>
      </c>
      <c r="AC140" s="115">
        <v>0</v>
      </c>
      <c r="AD140" s="53"/>
      <c r="AE140" s="53"/>
      <c r="AF140" s="53"/>
      <c r="AG140" s="53"/>
      <c r="AH140" s="47"/>
      <c r="AI140" s="53">
        <f t="shared" si="33"/>
        <v>461956</v>
      </c>
      <c r="AJ140" s="51"/>
      <c r="AK140" s="218">
        <f t="shared" si="32"/>
        <v>0</v>
      </c>
    </row>
    <row r="141" spans="1:39" s="36" customFormat="1" ht="15.75" x14ac:dyDescent="0.25">
      <c r="A141" s="113" t="s">
        <v>325</v>
      </c>
      <c r="B141" s="114" t="s">
        <v>418</v>
      </c>
      <c r="C141" s="52" t="s">
        <v>319</v>
      </c>
      <c r="D141" s="52" t="s">
        <v>319</v>
      </c>
      <c r="E141" s="52" t="s">
        <v>319</v>
      </c>
      <c r="F141" s="52" t="s">
        <v>319</v>
      </c>
      <c r="G141" s="52"/>
      <c r="H141" s="52" t="s">
        <v>319</v>
      </c>
      <c r="I141" s="52" t="s">
        <v>319</v>
      </c>
      <c r="J141" s="52" t="s">
        <v>319</v>
      </c>
      <c r="K141" s="52" t="s">
        <v>320</v>
      </c>
      <c r="L141" s="52" t="s">
        <v>319</v>
      </c>
      <c r="M141" s="52" t="s">
        <v>319</v>
      </c>
      <c r="N141" s="52"/>
      <c r="O141" s="52" t="s">
        <v>319</v>
      </c>
      <c r="P141" s="52" t="s">
        <v>319</v>
      </c>
      <c r="Q141" s="52" t="s">
        <v>319</v>
      </c>
      <c r="R141" s="247">
        <v>15630</v>
      </c>
      <c r="S141" s="115">
        <v>0</v>
      </c>
      <c r="T141" s="115">
        <v>0</v>
      </c>
      <c r="U141" s="115">
        <v>15630</v>
      </c>
      <c r="V141" s="115">
        <v>0</v>
      </c>
      <c r="W141" s="115">
        <v>0</v>
      </c>
      <c r="X141" s="115">
        <v>0</v>
      </c>
      <c r="Y141" s="115">
        <v>0</v>
      </c>
      <c r="Z141" s="115">
        <v>0</v>
      </c>
      <c r="AA141" s="115">
        <v>0</v>
      </c>
      <c r="AB141" s="115">
        <v>0</v>
      </c>
      <c r="AC141" s="115">
        <v>0</v>
      </c>
      <c r="AD141" s="53"/>
      <c r="AE141" s="53"/>
      <c r="AF141" s="58"/>
      <c r="AG141" s="53"/>
      <c r="AH141" s="47"/>
      <c r="AI141" s="53">
        <f t="shared" si="33"/>
        <v>15630</v>
      </c>
      <c r="AJ141" s="51"/>
      <c r="AK141" s="218">
        <f t="shared" si="32"/>
        <v>0</v>
      </c>
    </row>
    <row r="142" spans="1:39" s="36" customFormat="1" ht="15.75" x14ac:dyDescent="0.25">
      <c r="A142" s="113" t="s">
        <v>328</v>
      </c>
      <c r="B142" s="114" t="s">
        <v>419</v>
      </c>
      <c r="C142" s="52" t="s">
        <v>319</v>
      </c>
      <c r="D142" s="52" t="s">
        <v>319</v>
      </c>
      <c r="E142" s="52" t="s">
        <v>319</v>
      </c>
      <c r="F142" s="52" t="s">
        <v>319</v>
      </c>
      <c r="G142" s="52"/>
      <c r="H142" s="52" t="s">
        <v>319</v>
      </c>
      <c r="I142" s="52" t="s">
        <v>319</v>
      </c>
      <c r="J142" s="52" t="s">
        <v>319</v>
      </c>
      <c r="K142" s="52" t="s">
        <v>320</v>
      </c>
      <c r="L142" s="52" t="s">
        <v>319</v>
      </c>
      <c r="M142" s="52" t="s">
        <v>319</v>
      </c>
      <c r="N142" s="52"/>
      <c r="O142" s="52" t="s">
        <v>319</v>
      </c>
      <c r="P142" s="52" t="s">
        <v>319</v>
      </c>
      <c r="Q142" s="52" t="s">
        <v>319</v>
      </c>
      <c r="R142" s="247">
        <v>15000</v>
      </c>
      <c r="S142" s="115">
        <v>0</v>
      </c>
      <c r="T142" s="115">
        <v>0</v>
      </c>
      <c r="U142" s="115">
        <v>5720</v>
      </c>
      <c r="V142" s="115">
        <v>0</v>
      </c>
      <c r="W142" s="115">
        <v>9280</v>
      </c>
      <c r="X142" s="115">
        <v>0</v>
      </c>
      <c r="Y142" s="115">
        <v>0</v>
      </c>
      <c r="Z142" s="115">
        <v>0</v>
      </c>
      <c r="AA142" s="115">
        <v>0</v>
      </c>
      <c r="AB142" s="115">
        <v>0</v>
      </c>
      <c r="AC142" s="115">
        <v>0</v>
      </c>
      <c r="AD142" s="53"/>
      <c r="AE142" s="53"/>
      <c r="AF142" s="58"/>
      <c r="AG142" s="53"/>
      <c r="AH142" s="47"/>
      <c r="AI142" s="53">
        <f t="shared" si="33"/>
        <v>15000</v>
      </c>
      <c r="AJ142" s="51"/>
      <c r="AK142" s="218">
        <f t="shared" si="32"/>
        <v>0</v>
      </c>
    </row>
    <row r="143" spans="1:39" s="36" customFormat="1" ht="15.75" x14ac:dyDescent="0.25">
      <c r="A143" s="113" t="s">
        <v>110</v>
      </c>
      <c r="B143" s="114" t="s">
        <v>111</v>
      </c>
      <c r="C143" s="52" t="s">
        <v>319</v>
      </c>
      <c r="D143" s="52" t="s">
        <v>319</v>
      </c>
      <c r="E143" s="52" t="s">
        <v>319</v>
      </c>
      <c r="F143" s="52" t="s">
        <v>319</v>
      </c>
      <c r="G143" s="52"/>
      <c r="H143" s="52" t="s">
        <v>319</v>
      </c>
      <c r="I143" s="52" t="s">
        <v>319</v>
      </c>
      <c r="J143" s="52" t="s">
        <v>319</v>
      </c>
      <c r="K143" s="52" t="s">
        <v>320</v>
      </c>
      <c r="L143" s="52" t="s">
        <v>319</v>
      </c>
      <c r="M143" s="52" t="s">
        <v>319</v>
      </c>
      <c r="N143" s="52"/>
      <c r="O143" s="52" t="s">
        <v>319</v>
      </c>
      <c r="P143" s="52" t="s">
        <v>319</v>
      </c>
      <c r="Q143" s="52" t="s">
        <v>319</v>
      </c>
      <c r="R143" s="86">
        <v>0</v>
      </c>
      <c r="S143" s="115">
        <v>0</v>
      </c>
      <c r="T143" s="115">
        <v>0</v>
      </c>
      <c r="U143" s="115">
        <v>0</v>
      </c>
      <c r="V143" s="115">
        <v>0</v>
      </c>
      <c r="W143" s="115">
        <v>0</v>
      </c>
      <c r="X143" s="115">
        <v>0</v>
      </c>
      <c r="Y143" s="115">
        <v>0</v>
      </c>
      <c r="Z143" s="115">
        <v>0</v>
      </c>
      <c r="AA143" s="115">
        <v>0</v>
      </c>
      <c r="AB143" s="115">
        <v>0</v>
      </c>
      <c r="AC143" s="115">
        <v>0</v>
      </c>
      <c r="AD143" s="53"/>
      <c r="AE143" s="53"/>
      <c r="AF143" s="53"/>
      <c r="AG143" s="53"/>
      <c r="AH143" s="47"/>
      <c r="AI143" s="53">
        <f t="shared" si="33"/>
        <v>0</v>
      </c>
      <c r="AJ143" s="51"/>
      <c r="AK143" s="218">
        <f t="shared" si="32"/>
        <v>0</v>
      </c>
    </row>
    <row r="144" spans="1:39" s="36" customFormat="1" ht="15.75" x14ac:dyDescent="0.25">
      <c r="A144" s="113" t="s">
        <v>187</v>
      </c>
      <c r="B144" s="114" t="s">
        <v>188</v>
      </c>
      <c r="C144" s="52" t="s">
        <v>319</v>
      </c>
      <c r="D144" s="52" t="s">
        <v>319</v>
      </c>
      <c r="E144" s="52" t="s">
        <v>319</v>
      </c>
      <c r="F144" s="52" t="s">
        <v>319</v>
      </c>
      <c r="G144" s="52"/>
      <c r="H144" s="52" t="s">
        <v>319</v>
      </c>
      <c r="I144" s="52" t="s">
        <v>319</v>
      </c>
      <c r="J144" s="52" t="s">
        <v>319</v>
      </c>
      <c r="K144" s="52" t="s">
        <v>320</v>
      </c>
      <c r="L144" s="52" t="s">
        <v>319</v>
      </c>
      <c r="M144" s="52" t="s">
        <v>319</v>
      </c>
      <c r="N144" s="52"/>
      <c r="O144" s="52" t="s">
        <v>319</v>
      </c>
      <c r="P144" s="52" t="s">
        <v>319</v>
      </c>
      <c r="Q144" s="52" t="s">
        <v>319</v>
      </c>
      <c r="R144" s="182">
        <v>41062</v>
      </c>
      <c r="S144" s="115">
        <v>0</v>
      </c>
      <c r="T144" s="115">
        <v>0</v>
      </c>
      <c r="U144" s="115">
        <v>0</v>
      </c>
      <c r="V144" s="115">
        <v>0</v>
      </c>
      <c r="W144" s="115">
        <v>0</v>
      </c>
      <c r="X144" s="115">
        <v>41062</v>
      </c>
      <c r="Y144" s="115">
        <v>0</v>
      </c>
      <c r="Z144" s="115">
        <v>0</v>
      </c>
      <c r="AA144" s="115">
        <v>0</v>
      </c>
      <c r="AB144" s="115">
        <v>0</v>
      </c>
      <c r="AC144" s="115">
        <v>0</v>
      </c>
      <c r="AD144" s="58"/>
      <c r="AE144" s="58"/>
      <c r="AF144" s="58"/>
      <c r="AG144" s="58"/>
      <c r="AH144" s="47"/>
      <c r="AI144" s="53">
        <f t="shared" si="33"/>
        <v>41062</v>
      </c>
      <c r="AJ144" s="51"/>
      <c r="AK144" s="218">
        <f t="shared" si="32"/>
        <v>0</v>
      </c>
    </row>
    <row r="145" spans="1:38" s="36" customFormat="1" ht="15.75" x14ac:dyDescent="0.25">
      <c r="A145" s="113" t="s">
        <v>178</v>
      </c>
      <c r="B145" s="113" t="s">
        <v>179</v>
      </c>
      <c r="C145" s="52" t="s">
        <v>319</v>
      </c>
      <c r="D145" s="52" t="s">
        <v>319</v>
      </c>
      <c r="E145" s="52" t="s">
        <v>319</v>
      </c>
      <c r="F145" s="52" t="s">
        <v>319</v>
      </c>
      <c r="G145" s="52"/>
      <c r="H145" s="52" t="s">
        <v>319</v>
      </c>
      <c r="I145" s="52" t="s">
        <v>319</v>
      </c>
      <c r="J145" s="52" t="s">
        <v>319</v>
      </c>
      <c r="K145" s="52" t="s">
        <v>320</v>
      </c>
      <c r="L145" s="52" t="s">
        <v>319</v>
      </c>
      <c r="M145" s="52" t="s">
        <v>319</v>
      </c>
      <c r="N145" s="52"/>
      <c r="O145" s="52" t="s">
        <v>319</v>
      </c>
      <c r="P145" s="52" t="s">
        <v>319</v>
      </c>
      <c r="Q145" s="52" t="s">
        <v>319</v>
      </c>
      <c r="R145" s="86">
        <v>0</v>
      </c>
      <c r="S145" s="115">
        <v>0</v>
      </c>
      <c r="T145" s="115">
        <v>0</v>
      </c>
      <c r="U145" s="115">
        <v>0</v>
      </c>
      <c r="V145" s="115">
        <v>0</v>
      </c>
      <c r="W145" s="115">
        <v>0</v>
      </c>
      <c r="X145" s="115">
        <v>0</v>
      </c>
      <c r="Y145" s="115">
        <v>0</v>
      </c>
      <c r="Z145" s="115">
        <v>0</v>
      </c>
      <c r="AA145" s="115">
        <v>0</v>
      </c>
      <c r="AB145" s="115">
        <v>0</v>
      </c>
      <c r="AC145" s="115">
        <v>0</v>
      </c>
      <c r="AD145" s="58"/>
      <c r="AE145" s="58"/>
      <c r="AF145" s="58"/>
      <c r="AG145" s="53"/>
      <c r="AH145" s="47"/>
      <c r="AI145" s="53">
        <f t="shared" si="33"/>
        <v>0</v>
      </c>
      <c r="AJ145" s="51"/>
      <c r="AK145" s="218">
        <f t="shared" si="32"/>
        <v>0</v>
      </c>
    </row>
    <row r="146" spans="1:38" s="36" customFormat="1" ht="15.75" x14ac:dyDescent="0.25">
      <c r="A146" s="113" t="s">
        <v>544</v>
      </c>
      <c r="B146" s="113" t="s">
        <v>668</v>
      </c>
      <c r="C146" s="341" t="s">
        <v>563</v>
      </c>
      <c r="D146" s="341" t="s">
        <v>671</v>
      </c>
      <c r="E146" s="345" t="s">
        <v>691</v>
      </c>
      <c r="F146" s="52" t="s">
        <v>319</v>
      </c>
      <c r="G146" s="52"/>
      <c r="H146" s="52" t="s">
        <v>319</v>
      </c>
      <c r="I146" s="52" t="s">
        <v>319</v>
      </c>
      <c r="J146" s="52" t="s">
        <v>319</v>
      </c>
      <c r="K146" s="87" t="s">
        <v>320</v>
      </c>
      <c r="L146" s="52" t="s">
        <v>319</v>
      </c>
      <c r="M146" s="52" t="s">
        <v>319</v>
      </c>
      <c r="N146" s="87"/>
      <c r="O146" s="52" t="s">
        <v>319</v>
      </c>
      <c r="P146" s="52" t="s">
        <v>319</v>
      </c>
      <c r="Q146" s="52" t="s">
        <v>319</v>
      </c>
      <c r="R146" s="181">
        <v>15493</v>
      </c>
      <c r="S146" s="115">
        <v>0</v>
      </c>
      <c r="T146" s="115">
        <v>0</v>
      </c>
      <c r="U146" s="115">
        <v>0</v>
      </c>
      <c r="V146" s="115">
        <v>0</v>
      </c>
      <c r="W146" s="115">
        <v>0</v>
      </c>
      <c r="X146" s="115">
        <v>0</v>
      </c>
      <c r="Y146" s="115">
        <v>0</v>
      </c>
      <c r="Z146" s="115">
        <v>0</v>
      </c>
      <c r="AA146" s="115">
        <v>15493</v>
      </c>
      <c r="AB146" s="115">
        <v>0</v>
      </c>
      <c r="AC146" s="115">
        <v>0</v>
      </c>
      <c r="AD146" s="53"/>
      <c r="AE146" s="53"/>
      <c r="AF146" s="53"/>
      <c r="AG146" s="53"/>
      <c r="AH146" s="47"/>
      <c r="AI146" s="53">
        <f>SUM(S146:AH146)</f>
        <v>15493</v>
      </c>
      <c r="AJ146" s="51"/>
      <c r="AK146" s="218">
        <f t="shared" si="32"/>
        <v>0</v>
      </c>
    </row>
    <row r="147" spans="1:38" s="36" customFormat="1" ht="15.75" x14ac:dyDescent="0.25">
      <c r="A147" s="113" t="s">
        <v>747</v>
      </c>
      <c r="B147" s="35" t="s">
        <v>598</v>
      </c>
      <c r="C147" s="52" t="s">
        <v>319</v>
      </c>
      <c r="D147" s="52" t="s">
        <v>319</v>
      </c>
      <c r="E147" s="52" t="s">
        <v>319</v>
      </c>
      <c r="F147" s="52" t="s">
        <v>319</v>
      </c>
      <c r="G147" s="52"/>
      <c r="H147" s="52" t="s">
        <v>319</v>
      </c>
      <c r="I147" s="52" t="s">
        <v>319</v>
      </c>
      <c r="J147" s="52" t="s">
        <v>319</v>
      </c>
      <c r="K147" s="52" t="s">
        <v>320</v>
      </c>
      <c r="L147" s="52" t="s">
        <v>319</v>
      </c>
      <c r="M147" s="52" t="s">
        <v>319</v>
      </c>
      <c r="N147" s="52"/>
      <c r="O147" s="52" t="s">
        <v>319</v>
      </c>
      <c r="P147" s="52" t="s">
        <v>319</v>
      </c>
      <c r="Q147" s="52" t="s">
        <v>319</v>
      </c>
      <c r="R147" s="53">
        <v>0</v>
      </c>
      <c r="S147" s="115">
        <v>0</v>
      </c>
      <c r="T147" s="115">
        <v>0</v>
      </c>
      <c r="U147" s="115">
        <v>0</v>
      </c>
      <c r="V147" s="115">
        <v>0</v>
      </c>
      <c r="W147" s="115">
        <v>0</v>
      </c>
      <c r="X147" s="115">
        <v>0</v>
      </c>
      <c r="Y147" s="115">
        <v>0</v>
      </c>
      <c r="Z147" s="115">
        <v>0</v>
      </c>
      <c r="AA147" s="115">
        <v>0</v>
      </c>
      <c r="AB147" s="115">
        <v>0</v>
      </c>
      <c r="AC147" s="115">
        <v>0</v>
      </c>
      <c r="AD147" s="53"/>
      <c r="AE147" s="53"/>
      <c r="AF147" s="53"/>
      <c r="AG147" s="53"/>
      <c r="AH147" s="47"/>
      <c r="AI147" s="53">
        <f>SUM(S147:AH147)</f>
        <v>0</v>
      </c>
      <c r="AJ147" s="51"/>
      <c r="AK147" s="218">
        <f t="shared" si="32"/>
        <v>0</v>
      </c>
    </row>
    <row r="148" spans="1:38" s="36" customFormat="1" ht="15.75" x14ac:dyDescent="0.25">
      <c r="A148" s="113" t="s">
        <v>602</v>
      </c>
      <c r="B148" s="114" t="s">
        <v>603</v>
      </c>
      <c r="C148" s="52" t="s">
        <v>319</v>
      </c>
      <c r="D148" s="52" t="s">
        <v>319</v>
      </c>
      <c r="E148" s="52" t="s">
        <v>319</v>
      </c>
      <c r="F148" s="52" t="s">
        <v>319</v>
      </c>
      <c r="G148" s="52"/>
      <c r="H148" s="52" t="s">
        <v>319</v>
      </c>
      <c r="I148" s="52" t="s">
        <v>319</v>
      </c>
      <c r="J148" s="52" t="s">
        <v>319</v>
      </c>
      <c r="K148" s="52" t="s">
        <v>320</v>
      </c>
      <c r="L148" s="52" t="s">
        <v>319</v>
      </c>
      <c r="M148" s="52" t="s">
        <v>319</v>
      </c>
      <c r="N148" s="52"/>
      <c r="O148" s="52" t="s">
        <v>319</v>
      </c>
      <c r="P148" s="52" t="s">
        <v>319</v>
      </c>
      <c r="Q148" s="52" t="s">
        <v>319</v>
      </c>
      <c r="R148" s="53">
        <v>0</v>
      </c>
      <c r="S148" s="115">
        <v>0</v>
      </c>
      <c r="T148" s="115">
        <v>0</v>
      </c>
      <c r="U148" s="115">
        <v>0</v>
      </c>
      <c r="V148" s="115">
        <v>0</v>
      </c>
      <c r="W148" s="115">
        <v>0</v>
      </c>
      <c r="X148" s="115">
        <v>0</v>
      </c>
      <c r="Y148" s="115">
        <v>0</v>
      </c>
      <c r="Z148" s="115">
        <v>0</v>
      </c>
      <c r="AA148" s="115">
        <v>0</v>
      </c>
      <c r="AB148" s="115">
        <v>0</v>
      </c>
      <c r="AC148" s="115">
        <v>0</v>
      </c>
      <c r="AD148" s="53"/>
      <c r="AE148" s="53"/>
      <c r="AF148" s="58"/>
      <c r="AG148" s="53"/>
      <c r="AH148" s="47"/>
      <c r="AI148" s="53">
        <f>SUM(S148:AH148)</f>
        <v>0</v>
      </c>
      <c r="AJ148" s="51"/>
      <c r="AK148" s="218">
        <f t="shared" si="32"/>
        <v>0</v>
      </c>
    </row>
    <row r="149" spans="1:38" s="36" customFormat="1" ht="15.75" x14ac:dyDescent="0.25">
      <c r="A149" s="34" t="s">
        <v>210</v>
      </c>
      <c r="B149" s="35" t="s">
        <v>211</v>
      </c>
      <c r="C149" s="52" t="s">
        <v>165</v>
      </c>
      <c r="D149" s="52" t="s">
        <v>165</v>
      </c>
      <c r="E149" s="52" t="s">
        <v>165</v>
      </c>
      <c r="F149" s="52" t="s">
        <v>165</v>
      </c>
      <c r="G149" s="52"/>
      <c r="H149" s="52" t="s">
        <v>165</v>
      </c>
      <c r="I149" s="52" t="s">
        <v>165</v>
      </c>
      <c r="J149" s="52" t="s">
        <v>165</v>
      </c>
      <c r="K149" s="52" t="s">
        <v>320</v>
      </c>
      <c r="L149" s="52" t="s">
        <v>165</v>
      </c>
      <c r="M149" s="52" t="s">
        <v>165</v>
      </c>
      <c r="N149" s="52"/>
      <c r="O149" s="52" t="s">
        <v>165</v>
      </c>
      <c r="P149" s="52" t="s">
        <v>165</v>
      </c>
      <c r="Q149" s="52" t="s">
        <v>165</v>
      </c>
      <c r="R149" s="86">
        <v>0</v>
      </c>
      <c r="S149" s="115">
        <v>0</v>
      </c>
      <c r="T149" s="115">
        <v>0</v>
      </c>
      <c r="U149" s="115">
        <v>0</v>
      </c>
      <c r="V149" s="115">
        <v>0</v>
      </c>
      <c r="W149" s="115">
        <v>0</v>
      </c>
      <c r="X149" s="115">
        <v>0</v>
      </c>
      <c r="Y149" s="115">
        <v>0</v>
      </c>
      <c r="Z149" s="115">
        <v>0</v>
      </c>
      <c r="AA149" s="115">
        <v>0</v>
      </c>
      <c r="AB149" s="115">
        <v>0</v>
      </c>
      <c r="AC149" s="115">
        <v>0</v>
      </c>
      <c r="AD149" s="53"/>
      <c r="AE149" s="53"/>
      <c r="AF149" s="53"/>
      <c r="AG149" s="53"/>
      <c r="AH149" s="47"/>
      <c r="AI149" s="53">
        <f t="shared" si="33"/>
        <v>0</v>
      </c>
      <c r="AJ149" s="51"/>
      <c r="AK149" s="218">
        <f t="shared" si="32"/>
        <v>0</v>
      </c>
    </row>
    <row r="150" spans="1:38" s="36" customFormat="1" ht="15.75" x14ac:dyDescent="0.25">
      <c r="A150" s="104" t="s">
        <v>337</v>
      </c>
      <c r="B150" s="105" t="s">
        <v>422</v>
      </c>
      <c r="C150" s="52" t="s">
        <v>319</v>
      </c>
      <c r="D150" s="87" t="s">
        <v>319</v>
      </c>
      <c r="E150" s="87" t="s">
        <v>319</v>
      </c>
      <c r="F150" s="87" t="s">
        <v>319</v>
      </c>
      <c r="G150" s="87"/>
      <c r="H150" s="87" t="s">
        <v>319</v>
      </c>
      <c r="I150" s="87" t="s">
        <v>319</v>
      </c>
      <c r="J150" s="87" t="s">
        <v>319</v>
      </c>
      <c r="K150" s="87" t="s">
        <v>320</v>
      </c>
      <c r="L150" s="52" t="s">
        <v>319</v>
      </c>
      <c r="M150" s="52" t="s">
        <v>319</v>
      </c>
      <c r="N150" s="52"/>
      <c r="O150" s="52" t="s">
        <v>319</v>
      </c>
      <c r="P150" s="52" t="s">
        <v>319</v>
      </c>
      <c r="Q150" s="52" t="s">
        <v>319</v>
      </c>
      <c r="R150" s="181">
        <v>37392</v>
      </c>
      <c r="S150" s="115">
        <v>0</v>
      </c>
      <c r="T150" s="115">
        <v>0</v>
      </c>
      <c r="U150" s="115">
        <v>37392</v>
      </c>
      <c r="V150" s="115">
        <v>0</v>
      </c>
      <c r="W150" s="115">
        <v>0</v>
      </c>
      <c r="X150" s="115">
        <v>0</v>
      </c>
      <c r="Y150" s="115">
        <v>0</v>
      </c>
      <c r="Z150" s="115">
        <v>0</v>
      </c>
      <c r="AA150" s="115">
        <v>0</v>
      </c>
      <c r="AB150" s="115">
        <v>0</v>
      </c>
      <c r="AC150" s="115">
        <v>0</v>
      </c>
      <c r="AD150" s="58"/>
      <c r="AE150" s="58"/>
      <c r="AF150" s="53"/>
      <c r="AG150" s="53"/>
      <c r="AH150" s="47"/>
      <c r="AI150" s="53">
        <f t="shared" si="33"/>
        <v>37392</v>
      </c>
      <c r="AJ150" s="51"/>
      <c r="AK150" s="218">
        <f t="shared" si="32"/>
        <v>0</v>
      </c>
    </row>
    <row r="151" spans="1:38" s="36" customFormat="1" ht="15.75" x14ac:dyDescent="0.25">
      <c r="A151" s="283" t="s">
        <v>340</v>
      </c>
      <c r="B151" s="56" t="s">
        <v>429</v>
      </c>
      <c r="C151" s="52" t="s">
        <v>319</v>
      </c>
      <c r="D151" s="87" t="s">
        <v>319</v>
      </c>
      <c r="E151" s="87" t="s">
        <v>319</v>
      </c>
      <c r="F151" s="87" t="s">
        <v>319</v>
      </c>
      <c r="G151" s="87"/>
      <c r="H151" s="87" t="s">
        <v>319</v>
      </c>
      <c r="I151" s="87" t="s">
        <v>319</v>
      </c>
      <c r="J151" s="87" t="s">
        <v>319</v>
      </c>
      <c r="K151" s="52" t="s">
        <v>320</v>
      </c>
      <c r="L151" s="52" t="s">
        <v>319</v>
      </c>
      <c r="M151" s="87" t="s">
        <v>319</v>
      </c>
      <c r="N151" s="87"/>
      <c r="O151" s="52" t="s">
        <v>319</v>
      </c>
      <c r="P151" s="52" t="s">
        <v>319</v>
      </c>
      <c r="Q151" s="52" t="s">
        <v>319</v>
      </c>
      <c r="R151" s="182">
        <v>3575</v>
      </c>
      <c r="S151" s="115">
        <v>0</v>
      </c>
      <c r="T151" s="115">
        <v>0</v>
      </c>
      <c r="U151" s="115">
        <v>3575</v>
      </c>
      <c r="V151" s="115">
        <v>0</v>
      </c>
      <c r="W151" s="115">
        <v>0</v>
      </c>
      <c r="X151" s="115">
        <v>0</v>
      </c>
      <c r="Y151" s="115">
        <v>0</v>
      </c>
      <c r="Z151" s="115">
        <v>0</v>
      </c>
      <c r="AA151" s="115">
        <v>0</v>
      </c>
      <c r="AB151" s="115">
        <v>0</v>
      </c>
      <c r="AC151" s="115">
        <v>0</v>
      </c>
      <c r="AD151" s="58"/>
      <c r="AE151" s="58"/>
      <c r="AF151" s="58"/>
      <c r="AG151" s="53"/>
      <c r="AH151" s="47"/>
      <c r="AI151" s="53">
        <f t="shared" si="33"/>
        <v>3575</v>
      </c>
      <c r="AJ151" s="51"/>
      <c r="AK151" s="218">
        <f t="shared" si="32"/>
        <v>0</v>
      </c>
    </row>
    <row r="152" spans="1:38" s="36" customFormat="1" ht="15.75" x14ac:dyDescent="0.25">
      <c r="A152" s="93"/>
      <c r="B152" s="94"/>
      <c r="C152" s="91"/>
      <c r="D152" s="91"/>
      <c r="E152" s="94"/>
      <c r="F152" s="91"/>
      <c r="G152" s="91"/>
      <c r="H152" s="91"/>
      <c r="I152" s="91"/>
      <c r="J152" s="92"/>
      <c r="K152" s="91"/>
      <c r="L152" s="91"/>
      <c r="M152" s="91"/>
      <c r="N152" s="91"/>
      <c r="O152" s="92"/>
      <c r="P152" s="92"/>
      <c r="Q152" s="92"/>
      <c r="R152" s="243">
        <f t="shared" ref="R152:AG152" si="34">SUM(R134:R151)</f>
        <v>897825</v>
      </c>
      <c r="S152" s="243">
        <f t="shared" si="34"/>
        <v>122184</v>
      </c>
      <c r="T152" s="243">
        <f t="shared" si="34"/>
        <v>353138</v>
      </c>
      <c r="U152" s="243">
        <f t="shared" si="34"/>
        <v>171135</v>
      </c>
      <c r="V152" s="243">
        <f t="shared" si="34"/>
        <v>0</v>
      </c>
      <c r="W152" s="243">
        <f t="shared" si="34"/>
        <v>155902</v>
      </c>
      <c r="X152" s="243">
        <f t="shared" si="34"/>
        <v>74336</v>
      </c>
      <c r="Y152" s="243">
        <f t="shared" si="34"/>
        <v>0</v>
      </c>
      <c r="Z152" s="243">
        <f t="shared" si="34"/>
        <v>5637</v>
      </c>
      <c r="AA152" s="243">
        <f t="shared" si="34"/>
        <v>15493</v>
      </c>
      <c r="AB152" s="243">
        <f t="shared" si="34"/>
        <v>0</v>
      </c>
      <c r="AC152" s="243">
        <f t="shared" si="34"/>
        <v>0</v>
      </c>
      <c r="AD152" s="243">
        <f t="shared" si="34"/>
        <v>0</v>
      </c>
      <c r="AE152" s="243">
        <f t="shared" si="34"/>
        <v>0</v>
      </c>
      <c r="AF152" s="243">
        <f t="shared" si="34"/>
        <v>0</v>
      </c>
      <c r="AG152" s="243">
        <f t="shared" si="34"/>
        <v>0</v>
      </c>
      <c r="AH152" s="47"/>
      <c r="AI152" s="53">
        <f t="shared" si="33"/>
        <v>897825</v>
      </c>
      <c r="AJ152" s="51"/>
      <c r="AK152" s="218">
        <f t="shared" si="32"/>
        <v>0</v>
      </c>
    </row>
    <row r="153" spans="1:38" s="36" customFormat="1" ht="16.5" thickBot="1" x14ac:dyDescent="0.3">
      <c r="A153" s="34"/>
      <c r="B153" s="35"/>
      <c r="C153" s="52"/>
      <c r="D153" s="52"/>
      <c r="E153" s="35"/>
      <c r="F153" s="52"/>
      <c r="G153" s="52"/>
      <c r="H153" s="52"/>
      <c r="I153" s="52"/>
      <c r="J153" s="50"/>
      <c r="K153" s="52"/>
      <c r="L153" s="52"/>
      <c r="M153" s="141"/>
      <c r="N153" s="141"/>
      <c r="O153" s="142"/>
      <c r="P153" s="142"/>
      <c r="Q153" s="142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4"/>
      <c r="AI153" s="143"/>
      <c r="AJ153" s="145"/>
      <c r="AK153" s="218">
        <f t="shared" si="32"/>
        <v>0</v>
      </c>
    </row>
    <row r="154" spans="1:38" s="36" customFormat="1" ht="16.5" thickBot="1" x14ac:dyDescent="0.3">
      <c r="C154" s="37"/>
      <c r="D154" s="37"/>
      <c r="F154" s="37"/>
      <c r="G154" s="37"/>
      <c r="H154" s="293"/>
      <c r="I154" s="293"/>
      <c r="J154" s="38"/>
      <c r="K154" s="37"/>
      <c r="L154" s="37"/>
      <c r="M154" s="338"/>
      <c r="N154" s="70"/>
      <c r="O154" s="148" t="s">
        <v>445</v>
      </c>
      <c r="P154" s="148"/>
      <c r="Q154" s="148"/>
      <c r="R154" s="149">
        <f t="shared" ref="R154:AG154" si="35">R21+R26+R38+R47+R52+R56+R63+R66+R84+R42+R132+R152+R87</f>
        <v>129172915</v>
      </c>
      <c r="S154" s="149">
        <f t="shared" si="35"/>
        <v>13135775</v>
      </c>
      <c r="T154" s="149">
        <f t="shared" si="35"/>
        <v>4162260</v>
      </c>
      <c r="U154" s="149">
        <f t="shared" si="35"/>
        <v>2539811</v>
      </c>
      <c r="V154" s="149">
        <f t="shared" si="35"/>
        <v>3804063</v>
      </c>
      <c r="W154" s="149">
        <f t="shared" si="35"/>
        <v>4027943</v>
      </c>
      <c r="X154" s="149">
        <f t="shared" si="35"/>
        <v>3386920</v>
      </c>
      <c r="Y154" s="149">
        <f t="shared" si="35"/>
        <v>4748195</v>
      </c>
      <c r="Z154" s="149">
        <f t="shared" si="35"/>
        <v>3019590</v>
      </c>
      <c r="AA154" s="149">
        <f t="shared" si="35"/>
        <v>6352244</v>
      </c>
      <c r="AB154" s="149">
        <f>AB21+AB26+AB38+AB47+AB52+AB56+AB63+AB66+AB84+AB42+AB132+AB152+AB87</f>
        <v>3425694.15</v>
      </c>
      <c r="AC154" s="149">
        <f t="shared" si="35"/>
        <v>2933510.6199999996</v>
      </c>
      <c r="AD154" s="149">
        <f t="shared" si="35"/>
        <v>4659070</v>
      </c>
      <c r="AE154" s="149">
        <f t="shared" si="35"/>
        <v>4150909</v>
      </c>
      <c r="AF154" s="149">
        <f t="shared" si="35"/>
        <v>59989373.760000005</v>
      </c>
      <c r="AG154" s="149">
        <f t="shared" si="35"/>
        <v>7000000</v>
      </c>
      <c r="AH154" s="150"/>
      <c r="AI154" s="152">
        <f>SUM(S154:AH154)</f>
        <v>127335358.53</v>
      </c>
      <c r="AJ154" s="153"/>
      <c r="AK154" s="218">
        <f t="shared" si="32"/>
        <v>-1837560</v>
      </c>
      <c r="AL154" s="55"/>
    </row>
    <row r="155" spans="1:38" s="90" customFormat="1" ht="15.75" x14ac:dyDescent="0.25">
      <c r="C155" s="122"/>
      <c r="D155" s="122"/>
      <c r="F155" s="122"/>
      <c r="G155" s="122"/>
      <c r="H155" s="295"/>
      <c r="I155" s="295"/>
      <c r="J155" s="296"/>
      <c r="K155" s="122"/>
      <c r="L155" s="122"/>
      <c r="M155" s="123"/>
      <c r="N155" s="123"/>
      <c r="O155" s="124"/>
      <c r="P155" s="124"/>
      <c r="Q155" s="124"/>
      <c r="R155" s="124" t="s">
        <v>405</v>
      </c>
      <c r="S155" s="125">
        <v>14657045</v>
      </c>
      <c r="T155" s="128">
        <v>2798117.1428571427</v>
      </c>
      <c r="U155" s="128">
        <v>3206824.6428571427</v>
      </c>
      <c r="V155" s="128">
        <v>4008392.6428571427</v>
      </c>
      <c r="W155" s="128">
        <v>4318997.6428571427</v>
      </c>
      <c r="X155" s="128">
        <v>5069566.6428571418</v>
      </c>
      <c r="Y155" s="128">
        <v>5575814.6428571418</v>
      </c>
      <c r="Z155" s="128">
        <v>5314704.6428571418</v>
      </c>
      <c r="AA155" s="128">
        <v>5476840</v>
      </c>
      <c r="AB155" s="128">
        <v>5359959</v>
      </c>
      <c r="AC155" s="128">
        <v>6173564</v>
      </c>
      <c r="AD155" s="128">
        <v>5501722</v>
      </c>
      <c r="AE155" s="128">
        <v>3866535</v>
      </c>
      <c r="AF155" s="125">
        <v>16008105</v>
      </c>
      <c r="AG155" s="125"/>
      <c r="AH155" s="146"/>
      <c r="AI155" s="125"/>
      <c r="AJ155" s="126"/>
      <c r="AK155" s="273"/>
    </row>
    <row r="156" spans="1:38" ht="15.75" x14ac:dyDescent="0.25">
      <c r="M156" s="75"/>
      <c r="N156" s="75"/>
      <c r="R156" s="38" t="s">
        <v>406</v>
      </c>
      <c r="S156" s="128">
        <f>S154-S155</f>
        <v>-1521270</v>
      </c>
      <c r="T156" s="128">
        <f>T154-T155</f>
        <v>1364142.8571428573</v>
      </c>
      <c r="U156" s="128">
        <f t="shared" ref="U156:AE156" si="36">U154-U155</f>
        <v>-667013.64285714272</v>
      </c>
      <c r="V156" s="128">
        <f t="shared" si="36"/>
        <v>-204329.64285714272</v>
      </c>
      <c r="W156" s="128">
        <f t="shared" si="36"/>
        <v>-291054.64285714272</v>
      </c>
      <c r="X156" s="128">
        <f t="shared" si="36"/>
        <v>-1682646.6428571418</v>
      </c>
      <c r="Y156" s="128">
        <f t="shared" si="36"/>
        <v>-827619.64285714179</v>
      </c>
      <c r="Z156" s="128">
        <f t="shared" si="36"/>
        <v>-2295114.6428571418</v>
      </c>
      <c r="AA156" s="128">
        <f t="shared" si="36"/>
        <v>875404</v>
      </c>
      <c r="AB156" s="128">
        <f t="shared" si="36"/>
        <v>-1934264.85</v>
      </c>
      <c r="AC156" s="128">
        <f t="shared" si="36"/>
        <v>-3240053.3800000004</v>
      </c>
      <c r="AD156" s="128">
        <f t="shared" si="36"/>
        <v>-842652</v>
      </c>
      <c r="AE156" s="128">
        <f t="shared" si="36"/>
        <v>284374</v>
      </c>
      <c r="AF156" s="125"/>
      <c r="AG156" s="125"/>
      <c r="AH156" s="47"/>
      <c r="AI156" s="76"/>
      <c r="AJ156" s="77"/>
      <c r="AK156" s="273"/>
    </row>
    <row r="157" spans="1:38" ht="15.75" x14ac:dyDescent="0.25">
      <c r="R157" s="38"/>
      <c r="T157" s="278"/>
      <c r="U157" s="130"/>
      <c r="V157" s="130"/>
      <c r="W157" s="133"/>
      <c r="X157" s="133"/>
      <c r="Y157" s="133"/>
      <c r="Z157" s="130"/>
      <c r="AA157" s="130"/>
      <c r="AB157" s="130"/>
      <c r="AC157" s="130"/>
      <c r="AD157" s="130"/>
      <c r="AE157" s="278"/>
      <c r="AF157" s="278"/>
      <c r="AG157" s="130"/>
      <c r="AH157" s="47"/>
      <c r="AK157" s="274"/>
    </row>
    <row r="158" spans="1:38" ht="15.75" x14ac:dyDescent="0.25">
      <c r="R158" s="38" t="s">
        <v>407</v>
      </c>
      <c r="T158" s="140">
        <v>2897650</v>
      </c>
      <c r="U158" s="136">
        <v>3085444</v>
      </c>
      <c r="V158" s="136">
        <v>3369732</v>
      </c>
      <c r="W158" s="133"/>
      <c r="X158" s="133"/>
      <c r="Y158" s="133"/>
      <c r="Z158" s="130"/>
      <c r="AA158" s="130"/>
      <c r="AB158" s="130"/>
      <c r="AC158" s="130"/>
      <c r="AD158" s="130"/>
      <c r="AE158" s="278"/>
      <c r="AF158" s="278"/>
      <c r="AG158" s="130"/>
      <c r="AH158" s="47"/>
      <c r="AK158" s="274"/>
    </row>
    <row r="159" spans="1:38" ht="15.75" x14ac:dyDescent="0.25">
      <c r="R159" s="38" t="s">
        <v>408</v>
      </c>
      <c r="T159" s="278">
        <f>(T155*0.9)*0.887</f>
        <v>2233736.915142857</v>
      </c>
      <c r="U159" s="130">
        <f t="shared" ref="U159:AF159" si="37">(U155*0.9)*0.887</f>
        <v>2560008.1123928572</v>
      </c>
      <c r="V159" s="130">
        <f t="shared" si="37"/>
        <v>3199899.8467928572</v>
      </c>
      <c r="W159" s="130">
        <f t="shared" si="37"/>
        <v>3447855.8182928571</v>
      </c>
      <c r="X159" s="130">
        <f t="shared" si="37"/>
        <v>4047035.0509928567</v>
      </c>
      <c r="Y159" s="130">
        <f t="shared" si="37"/>
        <v>4451172.8293928569</v>
      </c>
      <c r="Z159" s="130">
        <f t="shared" si="37"/>
        <v>4242728.716392857</v>
      </c>
      <c r="AA159" s="130">
        <f t="shared" si="37"/>
        <v>4372161.3720000004</v>
      </c>
      <c r="AB159" s="130">
        <f t="shared" si="37"/>
        <v>4278855.269700001</v>
      </c>
      <c r="AC159" s="130">
        <f t="shared" si="37"/>
        <v>4928356.1412000004</v>
      </c>
      <c r="AD159" s="130">
        <f t="shared" si="37"/>
        <v>4392024.6726000002</v>
      </c>
      <c r="AE159" s="278">
        <f t="shared" si="37"/>
        <v>3086654.8905000002</v>
      </c>
      <c r="AF159" s="278">
        <f t="shared" si="37"/>
        <v>12779270.2215</v>
      </c>
      <c r="AG159" s="130"/>
      <c r="AH159" s="47"/>
      <c r="AK159" s="274"/>
    </row>
    <row r="160" spans="1:38" ht="15.75" x14ac:dyDescent="0.25">
      <c r="R160" s="38" t="s">
        <v>406</v>
      </c>
      <c r="T160" s="278">
        <f>T158-T159</f>
        <v>663913.084857143</v>
      </c>
      <c r="U160" s="130">
        <f>U158-U159</f>
        <v>525435.88760714279</v>
      </c>
      <c r="V160" s="130">
        <f>V158-V159</f>
        <v>169832.15320714284</v>
      </c>
      <c r="W160" s="130"/>
      <c r="X160" s="130"/>
      <c r="Y160" s="130"/>
      <c r="Z160" s="130"/>
      <c r="AA160" s="130"/>
      <c r="AB160" s="130"/>
      <c r="AC160" s="130"/>
      <c r="AD160" s="130"/>
      <c r="AE160" s="278"/>
      <c r="AF160" s="278"/>
      <c r="AG160" s="130"/>
      <c r="AH160" s="47"/>
      <c r="AK160" s="274"/>
    </row>
    <row r="161" spans="1:37" ht="15.75" x14ac:dyDescent="0.25">
      <c r="R161" s="38"/>
      <c r="T161" s="278"/>
      <c r="U161" s="130"/>
      <c r="V161" s="130"/>
      <c r="W161" s="133"/>
      <c r="X161" s="133"/>
      <c r="Y161" s="133"/>
      <c r="Z161" s="130"/>
      <c r="AA161" s="130"/>
      <c r="AB161" s="130"/>
      <c r="AC161" s="130"/>
      <c r="AD161" s="130"/>
      <c r="AE161" s="278"/>
      <c r="AF161" s="278"/>
      <c r="AG161" s="130"/>
      <c r="AH161" s="47"/>
      <c r="AK161" s="274"/>
    </row>
    <row r="162" spans="1:37" ht="15.75" x14ac:dyDescent="0.25">
      <c r="R162" s="38" t="s">
        <v>409</v>
      </c>
      <c r="T162" s="140">
        <v>261214</v>
      </c>
      <c r="U162" s="136">
        <v>325090</v>
      </c>
      <c r="V162" s="136">
        <v>157521</v>
      </c>
      <c r="W162" s="133"/>
      <c r="X162" s="133"/>
      <c r="Y162" s="133"/>
      <c r="Z162" s="130"/>
      <c r="AA162" s="130"/>
      <c r="AB162" s="130"/>
      <c r="AC162" s="130"/>
      <c r="AD162" s="130"/>
      <c r="AE162" s="278"/>
      <c r="AF162" s="278"/>
      <c r="AG162" s="130"/>
      <c r="AH162" s="47"/>
      <c r="AK162" s="274"/>
    </row>
    <row r="163" spans="1:37" ht="15.75" x14ac:dyDescent="0.25">
      <c r="R163" s="38" t="s">
        <v>410</v>
      </c>
      <c r="T163" s="278">
        <f t="shared" ref="T163:AE163" si="38">(T155*0.877)*0.1</f>
        <v>245394.87342857142</v>
      </c>
      <c r="U163" s="130">
        <f t="shared" si="38"/>
        <v>281238.52117857145</v>
      </c>
      <c r="V163" s="130">
        <f t="shared" si="38"/>
        <v>351536.03477857145</v>
      </c>
      <c r="W163" s="130">
        <f t="shared" si="38"/>
        <v>378776.09327857144</v>
      </c>
      <c r="X163" s="130">
        <f t="shared" si="38"/>
        <v>444600.99457857135</v>
      </c>
      <c r="Y163" s="130">
        <f t="shared" si="38"/>
        <v>488998.9441785714</v>
      </c>
      <c r="Z163" s="130">
        <f t="shared" si="38"/>
        <v>466099.59717857133</v>
      </c>
      <c r="AA163" s="130">
        <f t="shared" si="38"/>
        <v>480318.86800000002</v>
      </c>
      <c r="AB163" s="130">
        <f t="shared" si="38"/>
        <v>470068.40429999999</v>
      </c>
      <c r="AC163" s="130">
        <f t="shared" si="38"/>
        <v>541421.56279999996</v>
      </c>
      <c r="AD163" s="130">
        <f t="shared" si="38"/>
        <v>482501.01940000005</v>
      </c>
      <c r="AE163" s="278">
        <f t="shared" si="38"/>
        <v>339095.11950000003</v>
      </c>
      <c r="AF163" s="278">
        <f>(AF155*0.877)*0.1</f>
        <v>1403910.8085000003</v>
      </c>
      <c r="AG163" s="130"/>
      <c r="AH163" s="47"/>
      <c r="AK163" s="274"/>
    </row>
    <row r="164" spans="1:37" ht="15.75" x14ac:dyDescent="0.25">
      <c r="M164" s="75"/>
      <c r="N164" s="75"/>
      <c r="R164" s="38" t="s">
        <v>406</v>
      </c>
      <c r="S164" s="125"/>
      <c r="T164" s="128">
        <f>T162-T163</f>
        <v>15819.126571428584</v>
      </c>
      <c r="U164" s="128">
        <f>U162-U163</f>
        <v>43851.478821428551</v>
      </c>
      <c r="V164" s="128">
        <f>V162-V163</f>
        <v>-194015.03477857145</v>
      </c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5"/>
      <c r="AG164" s="125"/>
      <c r="AH164" s="47"/>
      <c r="AI164" s="76"/>
      <c r="AJ164" s="77"/>
      <c r="AK164" s="273"/>
    </row>
    <row r="165" spans="1:37" ht="15.75" x14ac:dyDescent="0.25">
      <c r="M165" s="75"/>
      <c r="N165" s="75"/>
      <c r="R165" s="38"/>
      <c r="S165" s="125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5"/>
      <c r="AG165" s="125"/>
      <c r="AH165" s="47"/>
      <c r="AI165" s="76"/>
      <c r="AJ165" s="77"/>
      <c r="AK165" s="273"/>
    </row>
    <row r="166" spans="1:37" ht="15.75" x14ac:dyDescent="0.25">
      <c r="M166" s="75"/>
      <c r="N166" s="75"/>
      <c r="R166" s="38" t="s">
        <v>411</v>
      </c>
      <c r="S166" s="125"/>
      <c r="T166" s="139">
        <v>9.01E-2</v>
      </c>
      <c r="U166" s="139">
        <v>0.10539999999999999</v>
      </c>
      <c r="V166" s="139">
        <v>4.6699999999999998E-2</v>
      </c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25"/>
      <c r="AG166" s="125"/>
      <c r="AH166" s="47"/>
      <c r="AI166" s="76"/>
      <c r="AJ166" s="77"/>
      <c r="AK166" s="273"/>
    </row>
    <row r="167" spans="1:37" ht="15.75" x14ac:dyDescent="0.25">
      <c r="M167" s="75"/>
      <c r="N167" s="75"/>
      <c r="R167" s="38" t="s">
        <v>412</v>
      </c>
      <c r="S167" s="125"/>
      <c r="T167" s="137">
        <v>0.1</v>
      </c>
      <c r="U167" s="137">
        <v>0.1</v>
      </c>
      <c r="V167" s="137">
        <v>0.1</v>
      </c>
      <c r="W167" s="137">
        <v>0.1</v>
      </c>
      <c r="X167" s="137">
        <v>0.1</v>
      </c>
      <c r="Y167" s="137">
        <v>0.1</v>
      </c>
      <c r="Z167" s="137">
        <v>0.1</v>
      </c>
      <c r="AA167" s="137">
        <v>0.1</v>
      </c>
      <c r="AB167" s="137">
        <v>0.1</v>
      </c>
      <c r="AC167" s="137">
        <v>0.1</v>
      </c>
      <c r="AD167" s="137">
        <v>0.1</v>
      </c>
      <c r="AE167" s="137">
        <v>0.1</v>
      </c>
      <c r="AF167" s="137">
        <v>0.1</v>
      </c>
      <c r="AG167" s="125"/>
      <c r="AH167" s="47"/>
      <c r="AI167" s="76"/>
      <c r="AJ167" s="77"/>
      <c r="AK167" s="273"/>
    </row>
    <row r="168" spans="1:37" ht="15.75" x14ac:dyDescent="0.25">
      <c r="M168" s="75"/>
      <c r="N168" s="75"/>
      <c r="R168" s="38" t="s">
        <v>406</v>
      </c>
      <c r="S168" s="125"/>
      <c r="T168" s="138">
        <f>T166-T167</f>
        <v>-9.900000000000006E-3</v>
      </c>
      <c r="U168" s="138">
        <f>U166-U167</f>
        <v>5.3999999999999881E-3</v>
      </c>
      <c r="V168" s="138">
        <f>V166-V167</f>
        <v>-5.3300000000000007E-2</v>
      </c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25"/>
      <c r="AG168" s="125"/>
      <c r="AH168" s="47"/>
      <c r="AI168" s="76"/>
      <c r="AJ168" s="77"/>
      <c r="AK168" s="273"/>
    </row>
    <row r="169" spans="1:37" ht="15.75" x14ac:dyDescent="0.25">
      <c r="R169" s="38"/>
      <c r="T169" s="278"/>
      <c r="U169" s="130"/>
      <c r="V169" s="130"/>
      <c r="W169" s="133"/>
      <c r="X169" s="133"/>
      <c r="Y169" s="133"/>
      <c r="Z169" s="130"/>
      <c r="AA169" s="130"/>
      <c r="AB169" s="130"/>
      <c r="AC169" s="130"/>
      <c r="AD169" s="130"/>
      <c r="AE169" s="278"/>
      <c r="AF169" s="278"/>
      <c r="AG169" s="130"/>
      <c r="AH169" s="47"/>
      <c r="AK169" s="274"/>
    </row>
    <row r="170" spans="1:37" ht="15.75" x14ac:dyDescent="0.25">
      <c r="R170" s="38" t="s">
        <v>413</v>
      </c>
      <c r="T170" s="140">
        <v>256248</v>
      </c>
      <c r="U170" s="201">
        <v>250107</v>
      </c>
      <c r="V170" s="202">
        <v>305940</v>
      </c>
      <c r="W170" s="131"/>
      <c r="X170" s="133"/>
      <c r="Y170" s="133"/>
      <c r="Z170" s="130"/>
      <c r="AA170" s="130"/>
      <c r="AB170" s="130"/>
      <c r="AC170" s="130"/>
      <c r="AD170" s="130"/>
      <c r="AE170" s="278"/>
      <c r="AF170" s="278"/>
      <c r="AG170" s="130"/>
      <c r="AH170" s="47"/>
      <c r="AK170" s="274"/>
    </row>
    <row r="171" spans="1:37" ht="15.75" x14ac:dyDescent="0.25">
      <c r="R171" s="38" t="s">
        <v>414</v>
      </c>
      <c r="T171" s="131">
        <v>275000</v>
      </c>
      <c r="U171" s="131">
        <v>275000</v>
      </c>
      <c r="V171" s="131">
        <v>275000</v>
      </c>
      <c r="W171" s="131">
        <v>293000</v>
      </c>
      <c r="X171" s="131">
        <v>293000</v>
      </c>
      <c r="Y171" s="131">
        <v>293000</v>
      </c>
      <c r="Z171" s="131">
        <v>300000</v>
      </c>
      <c r="AA171" s="131">
        <v>300000</v>
      </c>
      <c r="AB171" s="131">
        <v>300000</v>
      </c>
      <c r="AC171" s="131">
        <v>300000</v>
      </c>
      <c r="AD171" s="131">
        <v>300000</v>
      </c>
      <c r="AE171" s="131">
        <v>300000</v>
      </c>
      <c r="AF171" s="131">
        <v>300000</v>
      </c>
      <c r="AG171" s="130"/>
      <c r="AH171" s="47"/>
      <c r="AK171" s="274"/>
    </row>
    <row r="172" spans="1:37" ht="15.75" x14ac:dyDescent="0.25">
      <c r="M172" s="75"/>
      <c r="N172" s="75"/>
      <c r="R172" s="38" t="s">
        <v>406</v>
      </c>
      <c r="S172" s="125"/>
      <c r="T172" s="128">
        <f>T171-T170</f>
        <v>18752</v>
      </c>
      <c r="U172" s="128">
        <f>U171-U170</f>
        <v>24893</v>
      </c>
      <c r="V172" s="128">
        <f>V171-V170</f>
        <v>-30940</v>
      </c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5"/>
      <c r="AG172" s="125"/>
      <c r="AH172" s="47"/>
      <c r="AI172" s="76"/>
      <c r="AJ172" s="77"/>
      <c r="AK172" s="90"/>
    </row>
    <row r="173" spans="1:37" ht="15.75" x14ac:dyDescent="0.25">
      <c r="R173" s="38"/>
      <c r="T173" s="131"/>
      <c r="U173" s="134"/>
      <c r="V173" s="135"/>
      <c r="W173" s="131"/>
      <c r="X173" s="133"/>
      <c r="Y173" s="133"/>
      <c r="Z173" s="130"/>
      <c r="AA173" s="130"/>
      <c r="AB173" s="130"/>
      <c r="AC173" s="130"/>
      <c r="AD173" s="130"/>
      <c r="AE173" s="278"/>
      <c r="AF173" s="278"/>
      <c r="AG173" s="130"/>
      <c r="AH173" s="47"/>
    </row>
    <row r="174" spans="1:37" s="78" customFormat="1" ht="15.75" x14ac:dyDescent="0.25">
      <c r="A174"/>
      <c r="B174"/>
      <c r="C174" s="74"/>
      <c r="D174" s="74"/>
      <c r="E174"/>
      <c r="F174" s="74"/>
      <c r="G174" s="74"/>
      <c r="H174" s="295"/>
      <c r="I174" s="295"/>
      <c r="J174" s="296"/>
      <c r="K174" s="74"/>
      <c r="L174" s="74"/>
      <c r="M174" s="74"/>
      <c r="N174" s="74"/>
      <c r="O174" s="38"/>
      <c r="P174" s="38"/>
      <c r="Q174" s="38"/>
      <c r="R174" s="38"/>
      <c r="S174" s="278"/>
      <c r="T174" s="131"/>
      <c r="U174" s="134"/>
      <c r="V174" s="135"/>
      <c r="W174" s="131"/>
      <c r="X174" s="133"/>
      <c r="Y174" s="133"/>
      <c r="Z174" s="130"/>
      <c r="AA174" s="130"/>
      <c r="AB174" s="130"/>
      <c r="AC174" s="130"/>
      <c r="AD174" s="130"/>
      <c r="AE174" s="278"/>
      <c r="AF174" s="278"/>
      <c r="AG174" s="130"/>
      <c r="AH174" s="47"/>
      <c r="AJ174" s="79"/>
      <c r="AK174"/>
    </row>
    <row r="175" spans="1:37" s="78" customFormat="1" ht="15.75" x14ac:dyDescent="0.25">
      <c r="A175"/>
      <c r="B175"/>
      <c r="C175" s="74"/>
      <c r="D175" s="74"/>
      <c r="E175"/>
      <c r="F175" s="74"/>
      <c r="G175" s="74"/>
      <c r="H175" s="295"/>
      <c r="I175" s="295"/>
      <c r="J175" s="296"/>
      <c r="K175" s="74"/>
      <c r="L175" s="74"/>
      <c r="M175" s="74"/>
      <c r="N175" s="74"/>
      <c r="O175" s="38"/>
      <c r="P175" s="38"/>
      <c r="Q175" s="38"/>
      <c r="R175" s="38" t="s">
        <v>415</v>
      </c>
      <c r="S175" s="278"/>
      <c r="T175" s="140">
        <v>4126</v>
      </c>
      <c r="U175" s="201">
        <v>74711</v>
      </c>
      <c r="V175" s="202">
        <v>-101036</v>
      </c>
      <c r="W175" s="131"/>
      <c r="X175" s="133"/>
      <c r="Y175" s="133"/>
      <c r="Z175" s="130"/>
      <c r="AA175" s="130"/>
      <c r="AB175" s="130"/>
      <c r="AC175" s="130"/>
      <c r="AD175" s="130"/>
      <c r="AE175" s="278"/>
      <c r="AF175" s="278"/>
      <c r="AG175" s="130"/>
      <c r="AH175" s="47"/>
      <c r="AJ175" s="79"/>
      <c r="AK175"/>
    </row>
    <row r="176" spans="1:37" s="78" customFormat="1" ht="15.75" x14ac:dyDescent="0.25">
      <c r="A176"/>
      <c r="B176"/>
      <c r="C176" s="74"/>
      <c r="D176" s="74"/>
      <c r="E176"/>
      <c r="F176" s="74"/>
      <c r="G176" s="74"/>
      <c r="H176" s="295"/>
      <c r="I176" s="295"/>
      <c r="J176" s="296"/>
      <c r="K176" s="74"/>
      <c r="L176" s="74"/>
      <c r="M176" s="74"/>
      <c r="N176" s="74"/>
      <c r="O176" s="38"/>
      <c r="P176" s="38"/>
      <c r="Q176" s="38"/>
      <c r="R176" s="38" t="s">
        <v>416</v>
      </c>
      <c r="S176" s="278"/>
      <c r="T176" s="131">
        <f>T163*0.1</f>
        <v>24539.487342857145</v>
      </c>
      <c r="U176" s="131">
        <f>U163*0.1</f>
        <v>28123.852117857146</v>
      </c>
      <c r="V176" s="131">
        <f>V163*0.1</f>
        <v>35153.603477857148</v>
      </c>
      <c r="W176" s="131">
        <f>W163*0.1</f>
        <v>37877.609327857142</v>
      </c>
      <c r="X176" s="131">
        <f t="shared" ref="X176:AD176" si="39">X163*0.1</f>
        <v>44460.099457857141</v>
      </c>
      <c r="Y176" s="131">
        <f>Y163*0.1</f>
        <v>48899.89441785714</v>
      </c>
      <c r="Z176" s="131">
        <f t="shared" si="39"/>
        <v>46609.959717857135</v>
      </c>
      <c r="AA176" s="131">
        <f t="shared" si="39"/>
        <v>48031.886800000007</v>
      </c>
      <c r="AB176" s="131">
        <f t="shared" si="39"/>
        <v>47006.840430000004</v>
      </c>
      <c r="AC176" s="131">
        <f t="shared" si="39"/>
        <v>54142.156279999996</v>
      </c>
      <c r="AD176" s="131">
        <f t="shared" si="39"/>
        <v>48250.101940000008</v>
      </c>
      <c r="AE176" s="131">
        <f>AE163*0.1+2995</f>
        <v>36904.511950000007</v>
      </c>
      <c r="AF176" s="278">
        <f>SUM(T176:AE176)</f>
        <v>500000.00326000003</v>
      </c>
      <c r="AG176" s="130"/>
      <c r="AH176" s="47"/>
      <c r="AJ176" s="79"/>
      <c r="AK176"/>
    </row>
    <row r="177" spans="1:37" ht="15.75" x14ac:dyDescent="0.25">
      <c r="M177" s="75"/>
      <c r="N177" s="75"/>
      <c r="R177" s="38" t="s">
        <v>406</v>
      </c>
      <c r="S177" s="125"/>
      <c r="T177" s="128">
        <f>T175-T176</f>
        <v>-20413.487342857145</v>
      </c>
      <c r="U177" s="128">
        <f>U175-U176</f>
        <v>46587.147882142854</v>
      </c>
      <c r="V177" s="128">
        <f>V175-V176</f>
        <v>-136189.60347785713</v>
      </c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5"/>
      <c r="AG177" s="125"/>
      <c r="AH177" s="47"/>
      <c r="AI177" s="76"/>
      <c r="AJ177" s="77"/>
      <c r="AK177" s="90"/>
    </row>
    <row r="178" spans="1:37" s="78" customFormat="1" ht="15.75" x14ac:dyDescent="0.25">
      <c r="A178"/>
      <c r="B178"/>
      <c r="C178" s="74"/>
      <c r="D178" s="74"/>
      <c r="E178"/>
      <c r="F178" s="74"/>
      <c r="G178" s="74"/>
      <c r="H178" s="295"/>
      <c r="I178" s="295"/>
      <c r="J178" s="296"/>
      <c r="K178" s="74"/>
      <c r="L178" s="74"/>
      <c r="M178" s="74"/>
      <c r="N178" s="74"/>
      <c r="O178" s="38"/>
      <c r="P178" s="38"/>
      <c r="Q178" s="38"/>
      <c r="S178" s="278"/>
      <c r="T178" s="131"/>
      <c r="U178" s="134"/>
      <c r="V178" s="135"/>
      <c r="W178" s="131"/>
      <c r="X178" s="133"/>
      <c r="Y178" s="133"/>
      <c r="Z178" s="130"/>
      <c r="AA178" s="130"/>
      <c r="AB178" s="130"/>
      <c r="AC178" s="130"/>
      <c r="AD178" s="130"/>
      <c r="AE178" s="278"/>
      <c r="AF178" s="278"/>
      <c r="AG178" s="130"/>
      <c r="AH178" s="47"/>
      <c r="AJ178" s="79"/>
      <c r="AK178"/>
    </row>
    <row r="179" spans="1:37" s="78" customFormat="1" ht="15.75" x14ac:dyDescent="0.25">
      <c r="A179"/>
      <c r="B179"/>
      <c r="C179" s="74"/>
      <c r="D179" s="74"/>
      <c r="E179"/>
      <c r="F179" s="74"/>
      <c r="G179" s="74"/>
      <c r="H179" s="295"/>
      <c r="I179" s="295"/>
      <c r="J179" s="296"/>
      <c r="K179" s="74"/>
      <c r="L179" s="74"/>
      <c r="M179" s="74"/>
      <c r="N179" s="74"/>
      <c r="O179" s="38"/>
      <c r="P179" s="38"/>
      <c r="Q179" s="38"/>
      <c r="S179" s="278"/>
      <c r="T179" s="80"/>
      <c r="U179" s="3"/>
      <c r="V179" s="8"/>
      <c r="W179" s="80"/>
      <c r="X179" s="81"/>
      <c r="Y179" s="81"/>
      <c r="AE179" s="277"/>
      <c r="AF179" s="277"/>
      <c r="AH179" s="47"/>
      <c r="AJ179" s="79"/>
      <c r="AK179"/>
    </row>
    <row r="180" spans="1:37" s="78" customFormat="1" ht="15.75" x14ac:dyDescent="0.25">
      <c r="A180"/>
      <c r="B180"/>
      <c r="C180" s="74"/>
      <c r="D180" s="74"/>
      <c r="E180"/>
      <c r="F180" s="74"/>
      <c r="G180" s="74"/>
      <c r="H180" s="295"/>
      <c r="I180" s="295"/>
      <c r="J180" s="296"/>
      <c r="K180" s="74"/>
      <c r="L180" s="74"/>
      <c r="M180" s="74"/>
      <c r="N180" s="74"/>
      <c r="O180" s="38"/>
      <c r="P180" s="38"/>
      <c r="Q180" s="38"/>
      <c r="S180" s="278"/>
      <c r="T180" s="80"/>
      <c r="U180" s="3"/>
      <c r="V180" s="8"/>
      <c r="W180" s="80"/>
      <c r="X180" s="81"/>
      <c r="Y180" s="81"/>
      <c r="AE180" s="277"/>
      <c r="AF180" s="277"/>
      <c r="AH180" s="47"/>
      <c r="AJ180" s="79"/>
      <c r="AK180"/>
    </row>
    <row r="181" spans="1:37" s="78" customFormat="1" ht="15.75" x14ac:dyDescent="0.25">
      <c r="A181"/>
      <c r="B181"/>
      <c r="C181" s="74"/>
      <c r="D181" s="74"/>
      <c r="E181"/>
      <c r="F181" s="74"/>
      <c r="G181" s="74"/>
      <c r="H181" s="295"/>
      <c r="I181" s="295"/>
      <c r="J181" s="296"/>
      <c r="K181" s="74"/>
      <c r="L181" s="74"/>
      <c r="M181" s="74"/>
      <c r="N181" s="74"/>
      <c r="O181" s="38"/>
      <c r="P181" s="38"/>
      <c r="Q181" s="38"/>
      <c r="S181" s="278"/>
      <c r="T181" s="80"/>
      <c r="U181" s="3"/>
      <c r="V181" s="8"/>
      <c r="W181" s="80"/>
      <c r="X181" s="81"/>
      <c r="Y181" s="81"/>
      <c r="AE181" s="277"/>
      <c r="AF181" s="277"/>
      <c r="AH181" s="47"/>
      <c r="AJ181" s="79"/>
      <c r="AK181"/>
    </row>
    <row r="182" spans="1:37" s="78" customFormat="1" ht="15.75" x14ac:dyDescent="0.25">
      <c r="A182"/>
      <c r="B182"/>
      <c r="C182" s="74"/>
      <c r="D182" s="74"/>
      <c r="E182"/>
      <c r="F182" s="74"/>
      <c r="G182" s="74"/>
      <c r="H182" s="295"/>
      <c r="I182" s="295"/>
      <c r="J182" s="296"/>
      <c r="K182" s="74"/>
      <c r="L182" s="74"/>
      <c r="M182" s="74"/>
      <c r="N182" s="74"/>
      <c r="O182" s="38"/>
      <c r="P182" s="38"/>
      <c r="Q182" s="38"/>
      <c r="S182" s="278"/>
      <c r="T182" s="80"/>
      <c r="U182" s="3"/>
      <c r="V182" s="8"/>
      <c r="W182" s="80"/>
      <c r="X182" s="81"/>
      <c r="Y182" s="81"/>
      <c r="AE182" s="277"/>
      <c r="AF182" s="277"/>
      <c r="AH182" s="47"/>
      <c r="AJ182" s="79"/>
      <c r="AK182"/>
    </row>
    <row r="183" spans="1:37" s="78" customFormat="1" ht="15.75" x14ac:dyDescent="0.25">
      <c r="A183"/>
      <c r="B183"/>
      <c r="C183" s="74"/>
      <c r="D183" s="74"/>
      <c r="E183"/>
      <c r="F183" s="74"/>
      <c r="G183" s="74"/>
      <c r="H183" s="295"/>
      <c r="I183" s="295"/>
      <c r="J183" s="296"/>
      <c r="K183" s="74"/>
      <c r="L183" s="74"/>
      <c r="M183" s="74"/>
      <c r="N183" s="74"/>
      <c r="O183" s="38"/>
      <c r="P183" s="38"/>
      <c r="Q183" s="38"/>
      <c r="S183" s="278"/>
      <c r="T183" s="80"/>
      <c r="U183" s="3"/>
      <c r="V183" s="8"/>
      <c r="W183" s="80"/>
      <c r="X183" s="81"/>
      <c r="Y183" s="81"/>
      <c r="AE183" s="277"/>
      <c r="AF183" s="277"/>
      <c r="AH183" s="47"/>
      <c r="AJ183" s="79"/>
      <c r="AK183"/>
    </row>
    <row r="184" spans="1:37" s="78" customFormat="1" ht="15.75" x14ac:dyDescent="0.25">
      <c r="A184"/>
      <c r="B184"/>
      <c r="C184" s="74"/>
      <c r="D184" s="74"/>
      <c r="E184"/>
      <c r="F184" s="74"/>
      <c r="G184" s="74"/>
      <c r="H184" s="295"/>
      <c r="I184" s="295"/>
      <c r="J184" s="296"/>
      <c r="K184" s="74"/>
      <c r="L184" s="74"/>
      <c r="M184" s="74"/>
      <c r="N184" s="74"/>
      <c r="O184" s="38"/>
      <c r="P184" s="38"/>
      <c r="Q184" s="38"/>
      <c r="S184" s="278"/>
      <c r="T184" s="80"/>
      <c r="U184" s="3"/>
      <c r="V184" s="8"/>
      <c r="W184" s="80"/>
      <c r="X184" s="81"/>
      <c r="Y184" s="81"/>
      <c r="AE184" s="277"/>
      <c r="AF184" s="277"/>
      <c r="AH184" s="79"/>
      <c r="AJ184" s="79"/>
      <c r="AK184"/>
    </row>
    <row r="185" spans="1:37" s="78" customFormat="1" x14ac:dyDescent="0.25">
      <c r="A185"/>
      <c r="B185"/>
      <c r="C185" s="74"/>
      <c r="D185" s="74"/>
      <c r="E185"/>
      <c r="F185" s="74"/>
      <c r="G185" s="74"/>
      <c r="H185" s="295"/>
      <c r="I185" s="295"/>
      <c r="J185" s="296"/>
      <c r="K185" s="74"/>
      <c r="L185" s="74"/>
      <c r="M185" s="74"/>
      <c r="N185" s="74"/>
      <c r="O185" s="38"/>
      <c r="P185" s="38"/>
      <c r="Q185" s="38"/>
      <c r="S185" s="278"/>
      <c r="T185" s="80"/>
      <c r="U185" s="80"/>
      <c r="V185" s="80"/>
      <c r="W185" s="80"/>
      <c r="X185" s="81"/>
      <c r="Y185" s="81"/>
      <c r="AE185" s="277"/>
      <c r="AF185" s="277"/>
      <c r="AH185" s="79"/>
      <c r="AJ185" s="79"/>
      <c r="AK185"/>
    </row>
  </sheetData>
  <protectedRanges>
    <protectedRange algorithmName="SHA-512" hashValue="p1zaDFJkdjN+AnmfzFBjbFKRbWYOQQg+cT1DzqDhOzloqO83qQsI/t5kPN30lmEEP3guKkM4uc2fEPeaztRBYA==" saltValue="+Rl2QHA+Wv31lMWEuJdOoQ==" spinCount="100000" sqref="H9:I9" name="Nolan_7_2"/>
    <protectedRange algorithmName="SHA-512" hashValue="p1zaDFJkdjN+AnmfzFBjbFKRbWYOQQg+cT1DzqDhOzloqO83qQsI/t5kPN30lmEEP3guKkM4uc2fEPeaztRBYA==" saltValue="+Rl2QHA+Wv31lMWEuJdOoQ==" spinCount="100000" sqref="H12:I12" name="Nolan_21"/>
    <protectedRange algorithmName="SHA-512" hashValue="7kKMQlnDQnaF2pWl7cOum7Q4v5K+/RuncQjNwOX/9VMC6IpRzPVvdGKHyOugwdH0ncs0E84+2rLp7ry6I8ErdA==" saltValue="jtLfJTgX02XzBGTPnDDc1A==" spinCount="100000" sqref="E13" name="Peggy_1"/>
    <protectedRange algorithmName="SHA-512" hashValue="p1zaDFJkdjN+AnmfzFBjbFKRbWYOQQg+cT1DzqDhOzloqO83qQsI/t5kPN30lmEEP3guKkM4uc2fEPeaztRBYA==" saltValue="+Rl2QHA+Wv31lMWEuJdOoQ==" spinCount="100000" sqref="H13:I13" name="Nolan"/>
    <protectedRange algorithmName="SHA-512" hashValue="7kKMQlnDQnaF2pWl7cOum7Q4v5K+/RuncQjNwOX/9VMC6IpRzPVvdGKHyOugwdH0ncs0E84+2rLp7ry6I8ErdA==" saltValue="jtLfJTgX02XzBGTPnDDc1A==" spinCount="100000" sqref="E14" name="Peggy_11"/>
    <protectedRange algorithmName="SHA-512" hashValue="p1zaDFJkdjN+AnmfzFBjbFKRbWYOQQg+cT1DzqDhOzloqO83qQsI/t5kPN30lmEEP3guKkM4uc2fEPeaztRBYA==" saltValue="+Rl2QHA+Wv31lMWEuJdOoQ==" spinCount="100000" sqref="H14:I14" name="Nolan_9"/>
    <protectedRange algorithmName="SHA-512" hashValue="7kKMQlnDQnaF2pWl7cOum7Q4v5K+/RuncQjNwOX/9VMC6IpRzPVvdGKHyOugwdH0ncs0E84+2rLp7ry6I8ErdA==" saltValue="jtLfJTgX02XzBGTPnDDc1A==" spinCount="100000" sqref="E15" name="Peggy_3"/>
    <protectedRange algorithmName="SHA-512" hashValue="p1zaDFJkdjN+AnmfzFBjbFKRbWYOQQg+cT1DzqDhOzloqO83qQsI/t5kPN30lmEEP3guKkM4uc2fEPeaztRBYA==" saltValue="+Rl2QHA+Wv31lMWEuJdOoQ==" spinCount="100000" sqref="H15:I15" name="Nolan_2"/>
    <protectedRange algorithmName="SHA-512" hashValue="p1zaDFJkdjN+AnmfzFBjbFKRbWYOQQg+cT1DzqDhOzloqO83qQsI/t5kPN30lmEEP3guKkM4uc2fEPeaztRBYA==" saltValue="+Rl2QHA+Wv31lMWEuJdOoQ==" spinCount="100000" sqref="H17:I17" name="Nolan_13_1"/>
    <protectedRange algorithmName="SHA-512" hashValue="p1zaDFJkdjN+AnmfzFBjbFKRbWYOQQg+cT1DzqDhOzloqO83qQsI/t5kPN30lmEEP3guKkM4uc2fEPeaztRBYA==" saltValue="+Rl2QHA+Wv31lMWEuJdOoQ==" spinCount="100000" sqref="I31" name="Nolan_3"/>
    <protectedRange algorithmName="SHA-512" hashValue="7kKMQlnDQnaF2pWl7cOum7Q4v5K+/RuncQjNwOX/9VMC6IpRzPVvdGKHyOugwdH0ncs0E84+2rLp7ry6I8ErdA==" saltValue="jtLfJTgX02XzBGTPnDDc1A==" spinCount="100000" sqref="E32" name="Peggy_2"/>
    <protectedRange algorithmName="SHA-512" hashValue="p1zaDFJkdjN+AnmfzFBjbFKRbWYOQQg+cT1DzqDhOzloqO83qQsI/t5kPN30lmEEP3guKkM4uc2fEPeaztRBYA==" saltValue="+Rl2QHA+Wv31lMWEuJdOoQ==" spinCount="100000" sqref="H32:I32" name="Nolan_1"/>
  </protectedRanges>
  <autoFilter ref="A2:AL2" xr:uid="{12A63D3F-80EA-4B81-A87B-C538A27F25CA}"/>
  <mergeCells count="1">
    <mergeCell ref="T1:AE1"/>
  </mergeCells>
  <conditionalFormatting sqref="AI154 AI40:AI41 AI54:AI56 AI65:AI66 AI23:AI26 AI44:AI47 AI49:AI52 AI86:AI87 AI134:AI137 AI5:AI21 AI28:AI38 AI139:AI141 AI144:AI151 AI70:AI82 AI59:AI63 AI89:AI132">
    <cfRule type="cellIs" dxfId="1340" priority="167" operator="lessThan">
      <formula>R5</formula>
    </cfRule>
    <cfRule type="cellIs" dxfId="1339" priority="168" operator="greaterThan">
      <formula>R5</formula>
    </cfRule>
    <cfRule type="cellIs" dxfId="1338" priority="169" operator="equal">
      <formula>R5</formula>
    </cfRule>
  </conditionalFormatting>
  <conditionalFormatting sqref="K169:K171 K173:K176 K178:K1048576 K153:K163 K134:K137 K139:K151 K37:K39 K1:K35 K41:K132">
    <cfRule type="cellIs" dxfId="1337" priority="165" operator="equal">
      <formula>"no"</formula>
    </cfRule>
    <cfRule type="cellIs" dxfId="1336" priority="166" operator="equal">
      <formula>"yes"</formula>
    </cfRule>
  </conditionalFormatting>
  <conditionalFormatting sqref="K29:K31">
    <cfRule type="cellIs" dxfId="1335" priority="163" operator="equal">
      <formula>"no"</formula>
    </cfRule>
    <cfRule type="cellIs" dxfId="1334" priority="164" operator="equal">
      <formula>"yes"</formula>
    </cfRule>
  </conditionalFormatting>
  <conditionalFormatting sqref="K44">
    <cfRule type="cellIs" dxfId="1333" priority="161" operator="equal">
      <formula>"no"</formula>
    </cfRule>
    <cfRule type="cellIs" dxfId="1332" priority="162" operator="equal">
      <formula>"yes"</formula>
    </cfRule>
  </conditionalFormatting>
  <conditionalFormatting sqref="R40:R41 R65 R23:R25 R44:R46 R49:R51 R28:R30 R36:R37 R123:R131 R86 R70:R76 R134:R137 R5:R20 R78:R82 R139:R151 R89:R109 R58:R62">
    <cfRule type="cellIs" dxfId="1331" priority="160" operator="equal">
      <formula>0</formula>
    </cfRule>
  </conditionalFormatting>
  <conditionalFormatting sqref="AI58">
    <cfRule type="cellIs" dxfId="1330" priority="157" operator="lessThan">
      <formula>R58</formula>
    </cfRule>
    <cfRule type="cellIs" dxfId="1329" priority="158" operator="greaterThan">
      <formula>R58</formula>
    </cfRule>
    <cfRule type="cellIs" dxfId="1328" priority="159" operator="equal">
      <formula>R58</formula>
    </cfRule>
  </conditionalFormatting>
  <conditionalFormatting sqref="D169:J171 D173:J176 D178:J1048576 D153:J163 J44:J45 H46:J46 D44:G46 J83 L149:Q151 E70:E71 F69:G71 D134:J137 L140:Q140 L134:Q137 D140:J151 D138 F138:G138 D68:D83 C145:C151 O138:Q138 K36:Q36 K40 C136 D132:J132 J111:J122 E72:G83 H81:J82 J80 D100:G131 D84:J99 H100:J110 D47:J67 D1:J43 H70:J79 H123:J131">
    <cfRule type="cellIs" dxfId="1327" priority="156" operator="equal">
      <formula>"TBD"</formula>
    </cfRule>
  </conditionalFormatting>
  <conditionalFormatting sqref="T156:AE156">
    <cfRule type="cellIs" dxfId="1326" priority="133" operator="equal">
      <formula>0</formula>
    </cfRule>
    <cfRule type="cellIs" dxfId="1325" priority="154" operator="lessThan">
      <formula>0</formula>
    </cfRule>
    <cfRule type="cellIs" dxfId="1324" priority="155" operator="greaterThan">
      <formula>0</formula>
    </cfRule>
  </conditionalFormatting>
  <conditionalFormatting sqref="K164:K168">
    <cfRule type="cellIs" dxfId="1323" priority="152" operator="equal">
      <formula>"no"</formula>
    </cfRule>
    <cfRule type="cellIs" dxfId="1322" priority="153" operator="equal">
      <formula>"yes"</formula>
    </cfRule>
  </conditionalFormatting>
  <conditionalFormatting sqref="D164:J168">
    <cfRule type="cellIs" dxfId="1321" priority="151" operator="equal">
      <formula>"TBD"</formula>
    </cfRule>
  </conditionalFormatting>
  <conditionalFormatting sqref="T164:AE165 AK4:AK154">
    <cfRule type="cellIs" dxfId="1320" priority="149" operator="lessThan">
      <formula>0</formula>
    </cfRule>
    <cfRule type="cellIs" dxfId="1319" priority="150" operator="greaterThan">
      <formula>0</formula>
    </cfRule>
  </conditionalFormatting>
  <conditionalFormatting sqref="K172">
    <cfRule type="cellIs" dxfId="1318" priority="147" operator="equal">
      <formula>"no"</formula>
    </cfRule>
    <cfRule type="cellIs" dxfId="1317" priority="148" operator="equal">
      <formula>"yes"</formula>
    </cfRule>
  </conditionalFormatting>
  <conditionalFormatting sqref="D172:J172">
    <cfRule type="cellIs" dxfId="1316" priority="146" operator="equal">
      <formula>"TBD"</formula>
    </cfRule>
  </conditionalFormatting>
  <conditionalFormatting sqref="T172:AE172">
    <cfRule type="cellIs" dxfId="1315" priority="144" operator="lessThan">
      <formula>0</formula>
    </cfRule>
    <cfRule type="cellIs" dxfId="1314" priority="145" operator="greaterThan">
      <formula>0</formula>
    </cfRule>
  </conditionalFormatting>
  <conditionalFormatting sqref="K177">
    <cfRule type="cellIs" dxfId="1313" priority="142" operator="equal">
      <formula>"no"</formula>
    </cfRule>
    <cfRule type="cellIs" dxfId="1312" priority="143" operator="equal">
      <formula>"yes"</formula>
    </cfRule>
  </conditionalFormatting>
  <conditionalFormatting sqref="D177:J177">
    <cfRule type="cellIs" dxfId="1311" priority="141" operator="equal">
      <formula>"TBD"</formula>
    </cfRule>
  </conditionalFormatting>
  <conditionalFormatting sqref="T177:AE177">
    <cfRule type="cellIs" dxfId="1310" priority="139" operator="lessThan">
      <formula>0</formula>
    </cfRule>
    <cfRule type="cellIs" dxfId="1309" priority="140" operator="greaterThan">
      <formula>0</formula>
    </cfRule>
  </conditionalFormatting>
  <conditionalFormatting sqref="S156">
    <cfRule type="cellIs" dxfId="1308" priority="137" operator="lessThan">
      <formula>0</formula>
    </cfRule>
    <cfRule type="cellIs" dxfId="1307" priority="138" operator="greaterThan">
      <formula>0</formula>
    </cfRule>
  </conditionalFormatting>
  <conditionalFormatting sqref="T160:V160">
    <cfRule type="cellIs" dxfId="1306" priority="134" operator="equal">
      <formula>0</formula>
    </cfRule>
    <cfRule type="cellIs" dxfId="1305" priority="135" operator="lessThan">
      <formula>0</formula>
    </cfRule>
    <cfRule type="cellIs" dxfId="1304" priority="136" operator="greaterThan">
      <formula>0</formula>
    </cfRule>
  </conditionalFormatting>
  <conditionalFormatting sqref="T168:V168">
    <cfRule type="cellIs" dxfId="1303" priority="130" operator="lessThan">
      <formula>0</formula>
    </cfRule>
    <cfRule type="cellIs" dxfId="1302" priority="131" operator="equal">
      <formula>0</formula>
    </cfRule>
    <cfRule type="cellIs" dxfId="1301" priority="132" operator="greaterThan">
      <formula>0</formula>
    </cfRule>
  </conditionalFormatting>
  <conditionalFormatting sqref="AI4">
    <cfRule type="cellIs" dxfId="1300" priority="127" operator="lessThan">
      <formula>R4</formula>
    </cfRule>
    <cfRule type="cellIs" dxfId="1299" priority="128" operator="greaterThan">
      <formula>R4</formula>
    </cfRule>
    <cfRule type="cellIs" dxfId="1298" priority="129" operator="equal">
      <formula>R4</formula>
    </cfRule>
  </conditionalFormatting>
  <conditionalFormatting sqref="K4">
    <cfRule type="cellIs" dxfId="1297" priority="125" operator="equal">
      <formula>"no"</formula>
    </cfRule>
    <cfRule type="cellIs" dxfId="1296" priority="126" operator="equal">
      <formula>"yes"</formula>
    </cfRule>
  </conditionalFormatting>
  <conditionalFormatting sqref="R4">
    <cfRule type="cellIs" dxfId="1295" priority="124" operator="equal">
      <formula>0</formula>
    </cfRule>
  </conditionalFormatting>
  <conditionalFormatting sqref="D4:J4 F5:G7">
    <cfRule type="cellIs" dxfId="1294" priority="123" operator="equal">
      <formula>"TBD"</formula>
    </cfRule>
  </conditionalFormatting>
  <conditionalFormatting sqref="AI142">
    <cfRule type="cellIs" dxfId="1293" priority="120" operator="lessThan">
      <formula>R142</formula>
    </cfRule>
    <cfRule type="cellIs" dxfId="1292" priority="121" operator="greaterThan">
      <formula>R142</formula>
    </cfRule>
    <cfRule type="cellIs" dxfId="1291" priority="122" operator="equal">
      <formula>R142</formula>
    </cfRule>
  </conditionalFormatting>
  <conditionalFormatting sqref="K39">
    <cfRule type="cellIs" dxfId="1290" priority="118" operator="equal">
      <formula>"no"</formula>
    </cfRule>
    <cfRule type="cellIs" dxfId="1289" priority="119" operator="equal">
      <formula>"yes"</formula>
    </cfRule>
  </conditionalFormatting>
  <conditionalFormatting sqref="D39:J39">
    <cfRule type="cellIs" dxfId="1288" priority="117" operator="equal">
      <formula>"TBD"</formula>
    </cfRule>
  </conditionalFormatting>
  <conditionalFormatting sqref="AI42">
    <cfRule type="cellIs" dxfId="1287" priority="114" operator="lessThan">
      <formula>R42</formula>
    </cfRule>
    <cfRule type="cellIs" dxfId="1286" priority="115" operator="greaterThan">
      <formula>R42</formula>
    </cfRule>
    <cfRule type="cellIs" dxfId="1285" priority="116" operator="equal">
      <formula>R42</formula>
    </cfRule>
  </conditionalFormatting>
  <conditionalFormatting sqref="K42">
    <cfRule type="cellIs" dxfId="1284" priority="112" operator="equal">
      <formula>"no"</formula>
    </cfRule>
    <cfRule type="cellIs" dxfId="1283" priority="113" operator="equal">
      <formula>"yes"</formula>
    </cfRule>
  </conditionalFormatting>
  <conditionalFormatting sqref="D42:J42">
    <cfRule type="cellIs" dxfId="1282" priority="111" operator="equal">
      <formula>"TBD"</formula>
    </cfRule>
  </conditionalFormatting>
  <conditionalFormatting sqref="AI84">
    <cfRule type="cellIs" dxfId="1281" priority="108" operator="lessThan">
      <formula>R84</formula>
    </cfRule>
    <cfRule type="cellIs" dxfId="1280" priority="109" operator="greaterThan">
      <formula>R84</formula>
    </cfRule>
    <cfRule type="cellIs" dxfId="1279" priority="110" operator="equal">
      <formula>R84</formula>
    </cfRule>
  </conditionalFormatting>
  <conditionalFormatting sqref="K84">
    <cfRule type="cellIs" dxfId="1278" priority="106" operator="equal">
      <formula>"no"</formula>
    </cfRule>
    <cfRule type="cellIs" dxfId="1277" priority="107" operator="equal">
      <formula>"yes"</formula>
    </cfRule>
  </conditionalFormatting>
  <conditionalFormatting sqref="D84:J84">
    <cfRule type="cellIs" dxfId="1276" priority="105" operator="equal">
      <formula>"TBD"</formula>
    </cfRule>
  </conditionalFormatting>
  <conditionalFormatting sqref="K81:K82">
    <cfRule type="cellIs" dxfId="1275" priority="103" operator="equal">
      <formula>"no"</formula>
    </cfRule>
    <cfRule type="cellIs" dxfId="1274" priority="104" operator="equal">
      <formula>"yes"</formula>
    </cfRule>
  </conditionalFormatting>
  <conditionalFormatting sqref="E81 H81:I81">
    <cfRule type="cellIs" dxfId="1273" priority="102" operator="equal">
      <formula>"TBD"</formula>
    </cfRule>
  </conditionalFormatting>
  <conditionalFormatting sqref="K53:K55">
    <cfRule type="cellIs" dxfId="1272" priority="100" operator="equal">
      <formula>"no"</formula>
    </cfRule>
    <cfRule type="cellIs" dxfId="1271" priority="101" operator="equal">
      <formula>"yes"</formula>
    </cfRule>
  </conditionalFormatting>
  <conditionalFormatting sqref="R54:R55">
    <cfRule type="cellIs" dxfId="1270" priority="99" operator="equal">
      <formula>0</formula>
    </cfRule>
  </conditionalFormatting>
  <conditionalFormatting sqref="D53:J55">
    <cfRule type="cellIs" dxfId="1269" priority="98" operator="equal">
      <formula>"TBD"</formula>
    </cfRule>
  </conditionalFormatting>
  <conditionalFormatting sqref="K64:K65">
    <cfRule type="cellIs" dxfId="1268" priority="96" operator="equal">
      <formula>"no"</formula>
    </cfRule>
    <cfRule type="cellIs" dxfId="1267" priority="97" operator="equal">
      <formula>"yes"</formula>
    </cfRule>
  </conditionalFormatting>
  <conditionalFormatting sqref="D64:J65">
    <cfRule type="cellIs" dxfId="1266" priority="95" operator="equal">
      <formula>"TBD"</formula>
    </cfRule>
  </conditionalFormatting>
  <conditionalFormatting sqref="J44:J45 H46:J46 C44:G46 J83 F69:G71 E70:E71 L134:Q137 C138:D138 F138:G138 C70:C83 D68:D83 L139:Q151 O138:Q138 K36:Q36 K40 C139:J1048576 C132:J137 J111:J122 E72:G83 H81:J82 J80 C100:G131 C84:J99 H100:J110 C47:J67 C1:J43 H70:J79 H123:J131">
    <cfRule type="containsText" dxfId="1265" priority="93" operator="containsText" text="DEAD">
      <formula>NOT(ISERROR(SEARCH("DEAD",C1)))</formula>
    </cfRule>
    <cfRule type="containsText" dxfId="1264" priority="94" operator="containsText" text="HOLD">
      <formula>NOT(ISERROR(SEARCH("HOLD",C1)))</formula>
    </cfRule>
  </conditionalFormatting>
  <conditionalFormatting sqref="D8:J8">
    <cfRule type="cellIs" dxfId="1263" priority="92" operator="equal">
      <formula>"TBD"</formula>
    </cfRule>
  </conditionalFormatting>
  <conditionalFormatting sqref="D13:J13 J14:J20">
    <cfRule type="cellIs" dxfId="1262" priority="91" operator="equal">
      <formula>"TBD"</formula>
    </cfRule>
  </conditionalFormatting>
  <conditionalFormatting sqref="D14:J14 J15:J20">
    <cfRule type="cellIs" dxfId="1261" priority="90" operator="equal">
      <formula>"TBD"</formula>
    </cfRule>
  </conditionalFormatting>
  <conditionalFormatting sqref="J17:J20 D15:J16">
    <cfRule type="cellIs" dxfId="1260" priority="89" operator="equal">
      <formula>"TBD"</formula>
    </cfRule>
  </conditionalFormatting>
  <conditionalFormatting sqref="AI68:AI69">
    <cfRule type="cellIs" dxfId="1259" priority="86" operator="lessThan">
      <formula>R68</formula>
    </cfRule>
    <cfRule type="cellIs" dxfId="1258" priority="87" operator="greaterThan">
      <formula>R68</formula>
    </cfRule>
    <cfRule type="cellIs" dxfId="1257" priority="88" operator="equal">
      <formula>R68</formula>
    </cfRule>
  </conditionalFormatting>
  <conditionalFormatting sqref="R68:R69">
    <cfRule type="cellIs" dxfId="1256" priority="85" operator="equal">
      <formula>0</formula>
    </cfRule>
  </conditionalFormatting>
  <conditionalFormatting sqref="E68:H68 H69 I68:J69 E69">
    <cfRule type="cellIs" dxfId="1255" priority="84" operator="equal">
      <formula>"TBD"</formula>
    </cfRule>
  </conditionalFormatting>
  <conditionalFormatting sqref="C68:C69 H69 I68:J69 E68:H68 E69">
    <cfRule type="containsText" dxfId="1254" priority="82" operator="containsText" text="DEAD">
      <formula>NOT(ISERROR(SEARCH("DEAD",C68)))</formula>
    </cfRule>
    <cfRule type="containsText" dxfId="1253" priority="83" operator="containsText" text="HOLD">
      <formula>NOT(ISERROR(SEARCH("HOLD",C68)))</formula>
    </cfRule>
  </conditionalFormatting>
  <conditionalFormatting sqref="K133">
    <cfRule type="cellIs" dxfId="1252" priority="80" operator="equal">
      <formula>"no"</formula>
    </cfRule>
    <cfRule type="cellIs" dxfId="1251" priority="81" operator="equal">
      <formula>"yes"</formula>
    </cfRule>
  </conditionalFormatting>
  <conditionalFormatting sqref="D133:J133">
    <cfRule type="cellIs" dxfId="1250" priority="79" operator="equal">
      <formula>"TBD"</formula>
    </cfRule>
  </conditionalFormatting>
  <conditionalFormatting sqref="AI152">
    <cfRule type="cellIs" dxfId="1249" priority="76" operator="lessThan">
      <formula>R152</formula>
    </cfRule>
    <cfRule type="cellIs" dxfId="1248" priority="77" operator="greaterThan">
      <formula>R152</formula>
    </cfRule>
    <cfRule type="cellIs" dxfId="1247" priority="78" operator="equal">
      <formula>R152</formula>
    </cfRule>
  </conditionalFormatting>
  <conditionalFormatting sqref="K152">
    <cfRule type="cellIs" dxfId="1246" priority="74" operator="equal">
      <formula>"no"</formula>
    </cfRule>
    <cfRule type="cellIs" dxfId="1245" priority="75" operator="equal">
      <formula>"yes"</formula>
    </cfRule>
  </conditionalFormatting>
  <conditionalFormatting sqref="D152:J152">
    <cfRule type="cellIs" dxfId="1244" priority="73" operator="equal">
      <formula>"TBD"</formula>
    </cfRule>
  </conditionalFormatting>
  <conditionalFormatting sqref="L134:Q135 D136:E136 L137:Q137 L139:Q140 C134:C140 O138:Q138 D139:J139">
    <cfRule type="cellIs" dxfId="1243" priority="72" operator="equal">
      <formula>"SOLD"</formula>
    </cfRule>
  </conditionalFormatting>
  <conditionalFormatting sqref="D134:J137 D140:J140 L136:Q136 D138 F138:G138">
    <cfRule type="cellIs" dxfId="1242" priority="71" operator="equal">
      <formula>"SOLD"</formula>
    </cfRule>
  </conditionalFormatting>
  <conditionalFormatting sqref="M151:N151">
    <cfRule type="cellIs" dxfId="1241" priority="70" operator="equal">
      <formula>"TBD"</formula>
    </cfRule>
  </conditionalFormatting>
  <conditionalFormatting sqref="L144:N144">
    <cfRule type="cellIs" dxfId="1240" priority="69" operator="equal">
      <formula>"TBD"</formula>
    </cfRule>
  </conditionalFormatting>
  <conditionalFormatting sqref="L144:N144">
    <cfRule type="containsText" dxfId="1239" priority="67" operator="containsText" text="DEAD">
      <formula>NOT(ISERROR(SEARCH("DEAD",L144)))</formula>
    </cfRule>
    <cfRule type="containsText" dxfId="1238" priority="68" operator="containsText" text="HOLD">
      <formula>NOT(ISERROR(SEARCH("HOLD",L144)))</formula>
    </cfRule>
  </conditionalFormatting>
  <conditionalFormatting sqref="R110:R111">
    <cfRule type="cellIs" dxfId="1237" priority="66" operator="equal">
      <formula>0</formula>
    </cfRule>
  </conditionalFormatting>
  <conditionalFormatting sqref="H111:I111">
    <cfRule type="cellIs" dxfId="1236" priority="65" operator="equal">
      <formula>"TBD"</formula>
    </cfRule>
  </conditionalFormatting>
  <conditionalFormatting sqref="H111:I111">
    <cfRule type="containsText" dxfId="1235" priority="63" operator="containsText" text="DEAD">
      <formula>NOT(ISERROR(SEARCH("DEAD",H111)))</formula>
    </cfRule>
    <cfRule type="containsText" dxfId="1234" priority="64" operator="containsText" text="HOLD">
      <formula>NOT(ISERROR(SEARCH("HOLD",H111)))</formula>
    </cfRule>
  </conditionalFormatting>
  <conditionalFormatting sqref="R113">
    <cfRule type="cellIs" dxfId="1233" priority="62" operator="equal">
      <formula>0</formula>
    </cfRule>
  </conditionalFormatting>
  <conditionalFormatting sqref="H113:I113">
    <cfRule type="cellIs" dxfId="1232" priority="61" operator="equal">
      <formula>"TBD"</formula>
    </cfRule>
  </conditionalFormatting>
  <conditionalFormatting sqref="H113:I113">
    <cfRule type="containsText" dxfId="1231" priority="59" operator="containsText" text="DEAD">
      <formula>NOT(ISERROR(SEARCH("DEAD",H113)))</formula>
    </cfRule>
    <cfRule type="containsText" dxfId="1230" priority="60" operator="containsText" text="HOLD">
      <formula>NOT(ISERROR(SEARCH("HOLD",H113)))</formula>
    </cfRule>
  </conditionalFormatting>
  <conditionalFormatting sqref="R106">
    <cfRule type="cellIs" dxfId="1229" priority="58" operator="equal">
      <formula>0</formula>
    </cfRule>
  </conditionalFormatting>
  <conditionalFormatting sqref="R112">
    <cfRule type="cellIs" dxfId="1228" priority="57" operator="equal">
      <formula>0</formula>
    </cfRule>
  </conditionalFormatting>
  <conditionalFormatting sqref="H112:I112">
    <cfRule type="cellIs" dxfId="1227" priority="56" operator="equal">
      <formula>"TBD"</formula>
    </cfRule>
  </conditionalFormatting>
  <conditionalFormatting sqref="H112:I112">
    <cfRule type="containsText" dxfId="1226" priority="54" operator="containsText" text="DEAD">
      <formula>NOT(ISERROR(SEARCH("DEAD",H112)))</formula>
    </cfRule>
    <cfRule type="containsText" dxfId="1225" priority="55" operator="containsText" text="HOLD">
      <formula>NOT(ISERROR(SEARCH("HOLD",H112)))</formula>
    </cfRule>
  </conditionalFormatting>
  <conditionalFormatting sqref="R114">
    <cfRule type="cellIs" dxfId="1224" priority="53" operator="equal">
      <formula>0</formula>
    </cfRule>
  </conditionalFormatting>
  <conditionalFormatting sqref="H114:I114">
    <cfRule type="cellIs" dxfId="1223" priority="52" operator="equal">
      <formula>"TBD"</formula>
    </cfRule>
  </conditionalFormatting>
  <conditionalFormatting sqref="H114:I114">
    <cfRule type="containsText" dxfId="1222" priority="50" operator="containsText" text="DEAD">
      <formula>NOT(ISERROR(SEARCH("DEAD",H114)))</formula>
    </cfRule>
    <cfRule type="containsText" dxfId="1221" priority="51" operator="containsText" text="HOLD">
      <formula>NOT(ISERROR(SEARCH("HOLD",H114)))</formula>
    </cfRule>
  </conditionalFormatting>
  <conditionalFormatting sqref="R115">
    <cfRule type="cellIs" dxfId="1220" priority="49" operator="equal">
      <formula>0</formula>
    </cfRule>
  </conditionalFormatting>
  <conditionalFormatting sqref="H115:I115">
    <cfRule type="cellIs" dxfId="1219" priority="48" operator="equal">
      <formula>"TBD"</formula>
    </cfRule>
  </conditionalFormatting>
  <conditionalFormatting sqref="H115:I115">
    <cfRule type="containsText" dxfId="1218" priority="46" operator="containsText" text="DEAD">
      <formula>NOT(ISERROR(SEARCH("DEAD",H115)))</formula>
    </cfRule>
    <cfRule type="containsText" dxfId="1217" priority="47" operator="containsText" text="HOLD">
      <formula>NOT(ISERROR(SEARCH("HOLD",H115)))</formula>
    </cfRule>
  </conditionalFormatting>
  <conditionalFormatting sqref="R116:R118">
    <cfRule type="cellIs" dxfId="1216" priority="45" operator="equal">
      <formula>0</formula>
    </cfRule>
  </conditionalFormatting>
  <conditionalFormatting sqref="H116:I118">
    <cfRule type="cellIs" dxfId="1215" priority="44" operator="equal">
      <formula>"TBD"</formula>
    </cfRule>
  </conditionalFormatting>
  <conditionalFormatting sqref="H116:I118">
    <cfRule type="containsText" dxfId="1214" priority="42" operator="containsText" text="DEAD">
      <formula>NOT(ISERROR(SEARCH("DEAD",H116)))</formula>
    </cfRule>
    <cfRule type="containsText" dxfId="1213" priority="43" operator="containsText" text="HOLD">
      <formula>NOT(ISERROR(SEARCH("HOLD",H116)))</formula>
    </cfRule>
  </conditionalFormatting>
  <conditionalFormatting sqref="R119:R121">
    <cfRule type="cellIs" dxfId="1212" priority="41" operator="equal">
      <formula>0</formula>
    </cfRule>
  </conditionalFormatting>
  <conditionalFormatting sqref="H119:I121">
    <cfRule type="cellIs" dxfId="1211" priority="40" operator="equal">
      <formula>"TBD"</formula>
    </cfRule>
  </conditionalFormatting>
  <conditionalFormatting sqref="H119:I121">
    <cfRule type="containsText" dxfId="1210" priority="38" operator="containsText" text="DEAD">
      <formula>NOT(ISERROR(SEARCH("DEAD",H119)))</formula>
    </cfRule>
    <cfRule type="containsText" dxfId="1209" priority="39" operator="containsText" text="HOLD">
      <formula>NOT(ISERROR(SEARCH("HOLD",H119)))</formula>
    </cfRule>
  </conditionalFormatting>
  <conditionalFormatting sqref="R122">
    <cfRule type="cellIs" dxfId="1208" priority="37" operator="equal">
      <formula>0</formula>
    </cfRule>
  </conditionalFormatting>
  <conditionalFormatting sqref="H122:I122">
    <cfRule type="cellIs" dxfId="1207" priority="36" operator="equal">
      <formula>"TBD"</formula>
    </cfRule>
  </conditionalFormatting>
  <conditionalFormatting sqref="H122:I122">
    <cfRule type="containsText" dxfId="1206" priority="34" operator="containsText" text="DEAD">
      <formula>NOT(ISERROR(SEARCH("DEAD",H122)))</formula>
    </cfRule>
    <cfRule type="containsText" dxfId="1205" priority="35" operator="containsText" text="HOLD">
      <formula>NOT(ISERROR(SEARCH("HOLD",H122)))</formula>
    </cfRule>
  </conditionalFormatting>
  <conditionalFormatting sqref="AI83">
    <cfRule type="cellIs" dxfId="1204" priority="31" operator="lessThan">
      <formula>R83</formula>
    </cfRule>
    <cfRule type="cellIs" dxfId="1203" priority="32" operator="greaterThan">
      <formula>R83</formula>
    </cfRule>
    <cfRule type="cellIs" dxfId="1202" priority="33" operator="equal">
      <formula>R83</formula>
    </cfRule>
  </conditionalFormatting>
  <conditionalFormatting sqref="R83">
    <cfRule type="cellIs" dxfId="1201" priority="30" operator="equal">
      <formula>0</formula>
    </cfRule>
  </conditionalFormatting>
  <conditionalFormatting sqref="H83:I83">
    <cfRule type="cellIs" dxfId="1200" priority="29" operator="equal">
      <formula>"TBD"</formula>
    </cfRule>
  </conditionalFormatting>
  <conditionalFormatting sqref="H83:I83">
    <cfRule type="containsText" dxfId="1199" priority="27" operator="containsText" text="DEAD">
      <formula>NOT(ISERROR(SEARCH("DEAD",H83)))</formula>
    </cfRule>
    <cfRule type="containsText" dxfId="1198" priority="28" operator="containsText" text="HOLD">
      <formula>NOT(ISERROR(SEARCH("HOLD",H83)))</formula>
    </cfRule>
  </conditionalFormatting>
  <conditionalFormatting sqref="AI142:AI151 AI89 AI16">
    <cfRule type="cellIs" dxfId="1197" priority="170" operator="greaterThan">
      <formula>$R$36</formula>
    </cfRule>
    <cfRule type="cellIs" dxfId="1196" priority="171" operator="lessThan">
      <formula>$R$36</formula>
    </cfRule>
    <cfRule type="cellIs" dxfId="1195" priority="172" operator="equal">
      <formula>$R$36</formula>
    </cfRule>
    <cfRule type="cellIs" dxfId="1194" priority="173" operator="equal">
      <formula>$S$36</formula>
    </cfRule>
  </conditionalFormatting>
  <conditionalFormatting sqref="K85:K86">
    <cfRule type="cellIs" dxfId="1193" priority="25" operator="equal">
      <formula>"no"</formula>
    </cfRule>
    <cfRule type="cellIs" dxfId="1192" priority="26" operator="equal">
      <formula>"yes"</formula>
    </cfRule>
  </conditionalFormatting>
  <conditionalFormatting sqref="D85:J86">
    <cfRule type="cellIs" dxfId="1191" priority="24" operator="equal">
      <formula>"TBD"</formula>
    </cfRule>
  </conditionalFormatting>
  <conditionalFormatting sqref="O148 O4:O20 O28:O35 O146 O37 O89:O131 O60 O68:O83">
    <cfRule type="cellIs" dxfId="1190" priority="23" operator="equal">
      <formula>0</formula>
    </cfRule>
  </conditionalFormatting>
  <conditionalFormatting sqref="O23:O25">
    <cfRule type="cellIs" dxfId="1189" priority="22" operator="equal">
      <formula>0</formula>
    </cfRule>
  </conditionalFormatting>
  <conditionalFormatting sqref="O41">
    <cfRule type="cellIs" dxfId="1188" priority="21" operator="equal">
      <formula>0</formula>
    </cfRule>
  </conditionalFormatting>
  <conditionalFormatting sqref="O44:O46">
    <cfRule type="cellIs" dxfId="1187" priority="20" operator="equal">
      <formula>0</formula>
    </cfRule>
  </conditionalFormatting>
  <conditionalFormatting sqref="O49:O51">
    <cfRule type="cellIs" dxfId="1186" priority="19" operator="equal">
      <formula>0</formula>
    </cfRule>
  </conditionalFormatting>
  <conditionalFormatting sqref="O54:O55">
    <cfRule type="cellIs" dxfId="1185" priority="18" operator="equal">
      <formula>0</formula>
    </cfRule>
  </conditionalFormatting>
  <conditionalFormatting sqref="O58:O62">
    <cfRule type="cellIs" dxfId="1184" priority="17" operator="equal">
      <formula>0</formula>
    </cfRule>
  </conditionalFormatting>
  <conditionalFormatting sqref="O65">
    <cfRule type="cellIs" dxfId="1183" priority="16" operator="equal">
      <formula>0</formula>
    </cfRule>
  </conditionalFormatting>
  <conditionalFormatting sqref="O86">
    <cfRule type="cellIs" dxfId="1182" priority="15" operator="equal">
      <formula>0</formula>
    </cfRule>
  </conditionalFormatting>
  <conditionalFormatting sqref="AI138">
    <cfRule type="cellIs" dxfId="1181" priority="12" operator="lessThan">
      <formula>R138</formula>
    </cfRule>
    <cfRule type="cellIs" dxfId="1180" priority="13" operator="greaterThan">
      <formula>R138</formula>
    </cfRule>
    <cfRule type="cellIs" dxfId="1179" priority="14" operator="equal">
      <formula>R138</formula>
    </cfRule>
  </conditionalFormatting>
  <conditionalFormatting sqref="K138">
    <cfRule type="cellIs" dxfId="1178" priority="10" operator="equal">
      <formula>"no"</formula>
    </cfRule>
    <cfRule type="cellIs" dxfId="1177" priority="11" operator="equal">
      <formula>"yes"</formula>
    </cfRule>
  </conditionalFormatting>
  <conditionalFormatting sqref="E138 H138:J138">
    <cfRule type="cellIs" dxfId="1176" priority="9" operator="equal">
      <formula>"TBD"</formula>
    </cfRule>
  </conditionalFormatting>
  <conditionalFormatting sqref="E138 H138:J138">
    <cfRule type="containsText" dxfId="1175" priority="7" operator="containsText" text="DEAD">
      <formula>NOT(ISERROR(SEARCH("DEAD",E138)))</formula>
    </cfRule>
    <cfRule type="containsText" dxfId="1174" priority="8" operator="containsText" text="HOLD">
      <formula>NOT(ISERROR(SEARCH("HOLD",E138)))</formula>
    </cfRule>
  </conditionalFormatting>
  <conditionalFormatting sqref="R138">
    <cfRule type="cellIs" dxfId="1173" priority="6" operator="equal">
      <formula>0</formula>
    </cfRule>
  </conditionalFormatting>
  <conditionalFormatting sqref="D139">
    <cfRule type="cellIs" dxfId="1172" priority="4" operator="equal">
      <formula>"SOLD"</formula>
    </cfRule>
  </conditionalFormatting>
  <conditionalFormatting sqref="C139:D139">
    <cfRule type="cellIs" dxfId="1171" priority="5" operator="equal">
      <formula>"TBD"</formula>
    </cfRule>
  </conditionalFormatting>
  <conditionalFormatting sqref="H80:I80">
    <cfRule type="cellIs" dxfId="1170" priority="3" operator="equal">
      <formula>"TBD"</formula>
    </cfRule>
  </conditionalFormatting>
  <conditionalFormatting sqref="H80:I80">
    <cfRule type="containsText" dxfId="1169" priority="1" operator="containsText" text="DEAD">
      <formula>NOT(ISERROR(SEARCH("DEAD",H80)))</formula>
    </cfRule>
    <cfRule type="containsText" dxfId="1168" priority="2" operator="containsText" text="HOLD">
      <formula>NOT(ISERROR(SEARCH("HOLD",H80)))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5942E-E150-4D4F-B5A6-17FA46B8F655}">
  <dimension ref="A1:BB198"/>
  <sheetViews>
    <sheetView zoomScale="85" zoomScaleNormal="85" zoomScaleSheetLayoutView="85" workbookViewId="0">
      <pane xSplit="2" ySplit="2" topLeftCell="AB93" activePane="bottomRight" state="frozen"/>
      <selection pane="topRight" activeCell="C1" sqref="C1"/>
      <selection pane="bottomLeft" activeCell="A3" sqref="A3"/>
      <selection pane="bottomRight" activeCell="X38" sqref="X38:Z38"/>
    </sheetView>
  </sheetViews>
  <sheetFormatPr defaultRowHeight="15" x14ac:dyDescent="0.25"/>
  <cols>
    <col min="1" max="1" width="12.42578125" customWidth="1"/>
    <col min="2" max="2" width="47.5703125" bestFit="1" customWidth="1"/>
    <col min="3" max="3" width="11" style="74" customWidth="1"/>
    <col min="4" max="4" width="16.5703125" style="74" hidden="1" customWidth="1"/>
    <col min="5" max="5" width="46.5703125" hidden="1" customWidth="1"/>
    <col min="6" max="7" width="16.5703125" style="74" customWidth="1"/>
    <col min="8" max="9" width="13.5703125" style="74" customWidth="1"/>
    <col min="10" max="13" width="13.5703125" style="295" customWidth="1"/>
    <col min="14" max="14" width="13.5703125" style="296" customWidth="1"/>
    <col min="15" max="15" width="11.5703125" style="74" customWidth="1"/>
    <col min="16" max="16" width="13.5703125" style="74" customWidth="1"/>
    <col min="17" max="18" width="12.5703125" style="74" customWidth="1"/>
    <col min="19" max="21" width="16.5703125" style="38" customWidth="1"/>
    <col min="22" max="22" width="18.5703125" style="78" customWidth="1"/>
    <col min="23" max="23" width="17.42578125" style="278" customWidth="1"/>
    <col min="24" max="24" width="19.5703125" style="277" customWidth="1"/>
    <col min="25" max="26" width="19.5703125" style="78" customWidth="1"/>
    <col min="27" max="29" width="19.5703125" style="81" customWidth="1"/>
    <col min="30" max="34" width="19.5703125" style="78" customWidth="1"/>
    <col min="35" max="35" width="19.5703125" style="277" customWidth="1"/>
    <col min="36" max="47" width="18.42578125" style="277" hidden="1" customWidth="1"/>
    <col min="48" max="48" width="16.5703125" style="78" hidden="1" customWidth="1"/>
    <col min="49" max="49" width="3.42578125" style="79" customWidth="1"/>
    <col min="50" max="50" width="17.42578125" style="78" customWidth="1"/>
    <col min="51" max="51" width="3.42578125" style="79" customWidth="1"/>
    <col min="52" max="52" width="17.5703125" style="361" customWidth="1"/>
    <col min="53" max="53" width="76.5703125" customWidth="1"/>
    <col min="54" max="54" width="10.5703125" bestFit="1" customWidth="1"/>
  </cols>
  <sheetData>
    <row r="1" spans="1:54" s="36" customFormat="1" ht="29.1" customHeight="1" x14ac:dyDescent="0.25">
      <c r="C1" s="37"/>
      <c r="D1" s="37"/>
      <c r="F1" s="37"/>
      <c r="G1" s="37"/>
      <c r="H1" s="37"/>
      <c r="I1" s="37"/>
      <c r="J1" s="293"/>
      <c r="K1" s="293"/>
      <c r="L1" s="293"/>
      <c r="M1" s="293"/>
      <c r="N1" s="38"/>
      <c r="O1" s="37"/>
      <c r="P1" s="37"/>
      <c r="Q1" s="37"/>
      <c r="R1" s="37"/>
      <c r="S1" s="38"/>
      <c r="T1" s="38"/>
      <c r="U1" s="38"/>
      <c r="V1" s="279"/>
      <c r="W1" s="280">
        <v>2020</v>
      </c>
      <c r="X1" s="529">
        <v>2021</v>
      </c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281">
        <v>2022</v>
      </c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>
        <v>2023</v>
      </c>
      <c r="AW1" s="42"/>
      <c r="AX1" s="41"/>
      <c r="AY1" s="42"/>
      <c r="AZ1" s="357"/>
    </row>
    <row r="2" spans="1:54" s="292" customFormat="1" ht="47.25" x14ac:dyDescent="0.25">
      <c r="A2" s="284" t="s">
        <v>614</v>
      </c>
      <c r="B2" s="285" t="s">
        <v>613</v>
      </c>
      <c r="C2" s="286" t="s">
        <v>342</v>
      </c>
      <c r="D2" s="286" t="s">
        <v>343</v>
      </c>
      <c r="E2" s="285" t="s">
        <v>612</v>
      </c>
      <c r="F2" s="286" t="s">
        <v>12</v>
      </c>
      <c r="G2" s="286" t="s">
        <v>792</v>
      </c>
      <c r="H2" s="286" t="s">
        <v>743</v>
      </c>
      <c r="I2" s="286" t="s">
        <v>780</v>
      </c>
      <c r="J2" s="294" t="s">
        <v>781</v>
      </c>
      <c r="K2" s="286" t="s">
        <v>782</v>
      </c>
      <c r="L2" s="294" t="s">
        <v>783</v>
      </c>
      <c r="M2" s="286" t="s">
        <v>784</v>
      </c>
      <c r="N2" s="287" t="s">
        <v>785</v>
      </c>
      <c r="O2" s="286" t="s">
        <v>620</v>
      </c>
      <c r="P2" s="286" t="s">
        <v>345</v>
      </c>
      <c r="Q2" s="286" t="s">
        <v>346</v>
      </c>
      <c r="R2" s="286" t="s">
        <v>681</v>
      </c>
      <c r="S2" s="287" t="s">
        <v>347</v>
      </c>
      <c r="T2" s="287" t="s">
        <v>644</v>
      </c>
      <c r="U2" s="287" t="s">
        <v>645</v>
      </c>
      <c r="V2" s="82" t="s">
        <v>348</v>
      </c>
      <c r="W2" s="288" t="s">
        <v>629</v>
      </c>
      <c r="X2" s="82" t="s">
        <v>353</v>
      </c>
      <c r="Y2" s="82" t="s">
        <v>354</v>
      </c>
      <c r="Z2" s="82" t="s">
        <v>355</v>
      </c>
      <c r="AA2" s="289" t="s">
        <v>356</v>
      </c>
      <c r="AB2" s="289" t="s">
        <v>357</v>
      </c>
      <c r="AC2" s="82" t="s">
        <v>358</v>
      </c>
      <c r="AD2" s="82" t="s">
        <v>359</v>
      </c>
      <c r="AE2" s="289" t="s">
        <v>360</v>
      </c>
      <c r="AF2" s="82" t="s">
        <v>361</v>
      </c>
      <c r="AG2" s="82" t="s">
        <v>362</v>
      </c>
      <c r="AH2" s="289" t="s">
        <v>363</v>
      </c>
      <c r="AI2" s="82" t="s">
        <v>364</v>
      </c>
      <c r="AJ2" s="82" t="s">
        <v>749</v>
      </c>
      <c r="AK2" s="82" t="s">
        <v>750</v>
      </c>
      <c r="AL2" s="82" t="s">
        <v>751</v>
      </c>
      <c r="AM2" s="82" t="s">
        <v>752</v>
      </c>
      <c r="AN2" s="82" t="s">
        <v>753</v>
      </c>
      <c r="AO2" s="82" t="s">
        <v>754</v>
      </c>
      <c r="AP2" s="82" t="s">
        <v>755</v>
      </c>
      <c r="AQ2" s="82" t="s">
        <v>756</v>
      </c>
      <c r="AR2" s="82" t="s">
        <v>758</v>
      </c>
      <c r="AS2" s="82" t="s">
        <v>757</v>
      </c>
      <c r="AT2" s="82" t="s">
        <v>759</v>
      </c>
      <c r="AU2" s="82" t="s">
        <v>760</v>
      </c>
      <c r="AV2" s="289" t="s">
        <v>628</v>
      </c>
      <c r="AW2" s="290"/>
      <c r="AX2" s="82" t="s">
        <v>365</v>
      </c>
      <c r="AY2" s="290"/>
      <c r="AZ2" s="358" t="s">
        <v>366</v>
      </c>
      <c r="BA2" s="291" t="s">
        <v>547</v>
      </c>
    </row>
    <row r="3" spans="1:54" s="36" customFormat="1" ht="15.75" x14ac:dyDescent="0.25">
      <c r="A3" s="381" t="s">
        <v>27</v>
      </c>
      <c r="B3" s="106"/>
      <c r="C3" s="102" t="s">
        <v>368</v>
      </c>
      <c r="D3" s="102"/>
      <c r="E3" s="106"/>
      <c r="F3" s="102"/>
      <c r="G3" s="102"/>
      <c r="H3" s="102"/>
      <c r="I3" s="102"/>
      <c r="J3" s="276"/>
      <c r="K3" s="276"/>
      <c r="L3" s="276"/>
      <c r="M3" s="276"/>
      <c r="N3" s="84"/>
      <c r="O3" s="102"/>
      <c r="P3" s="102"/>
      <c r="Q3" s="102"/>
      <c r="R3" s="102"/>
      <c r="S3" s="102"/>
      <c r="T3" s="102"/>
      <c r="U3" s="102"/>
      <c r="V3" s="102"/>
      <c r="W3" s="85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47"/>
      <c r="AX3" s="103"/>
      <c r="AY3" s="51"/>
      <c r="AZ3" s="357"/>
      <c r="BB3" s="55"/>
    </row>
    <row r="4" spans="1:54" s="36" customFormat="1" ht="15.75" x14ac:dyDescent="0.25">
      <c r="A4" s="372" t="s">
        <v>284</v>
      </c>
      <c r="B4" s="373" t="s">
        <v>421</v>
      </c>
      <c r="C4" s="339" t="s">
        <v>368</v>
      </c>
      <c r="D4" s="339" t="s">
        <v>402</v>
      </c>
      <c r="E4" s="370" t="s">
        <v>286</v>
      </c>
      <c r="F4" s="339" t="s">
        <v>237</v>
      </c>
      <c r="G4" s="339"/>
      <c r="H4" s="339"/>
      <c r="I4" s="339"/>
      <c r="J4" s="332">
        <v>43867</v>
      </c>
      <c r="K4" s="332"/>
      <c r="L4" s="332">
        <v>43952</v>
      </c>
      <c r="M4" s="332"/>
      <c r="N4" s="343">
        <f t="shared" ref="N4:N20" si="0">L4-J4</f>
        <v>85</v>
      </c>
      <c r="O4" s="339" t="s">
        <v>370</v>
      </c>
      <c r="P4" s="332">
        <v>43983</v>
      </c>
      <c r="Q4" s="332">
        <v>44155</v>
      </c>
      <c r="R4" s="332"/>
      <c r="S4" s="371">
        <f t="shared" ref="S4:S20" si="1">((Q4-P4)/7)/4.3</f>
        <v>5.7142857142857153</v>
      </c>
      <c r="T4" s="371" t="s">
        <v>237</v>
      </c>
      <c r="U4" s="371"/>
      <c r="V4" s="323">
        <f>660134-54144</f>
        <v>605990</v>
      </c>
      <c r="W4" s="115">
        <v>568347</v>
      </c>
      <c r="X4" s="115">
        <v>879</v>
      </c>
      <c r="Y4" s="115">
        <v>35573</v>
      </c>
      <c r="Z4" s="115">
        <v>656</v>
      </c>
      <c r="AA4" s="115">
        <v>0</v>
      </c>
      <c r="AB4" s="115">
        <v>0</v>
      </c>
      <c r="AC4" s="115">
        <v>535</v>
      </c>
      <c r="AD4" s="115">
        <v>0</v>
      </c>
      <c r="AE4" s="115">
        <v>0</v>
      </c>
      <c r="AF4" s="115">
        <v>0</v>
      </c>
      <c r="AG4" s="115">
        <v>0</v>
      </c>
      <c r="AH4" s="115">
        <v>0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47"/>
      <c r="AX4" s="53">
        <f t="shared" ref="AX4:AX21" si="2">SUM(W4:AW4)</f>
        <v>605990</v>
      </c>
      <c r="AY4" s="51"/>
      <c r="AZ4" s="359">
        <f t="shared" ref="AZ4:AZ21" si="3">AX4-V4</f>
        <v>0</v>
      </c>
      <c r="BB4" s="55"/>
    </row>
    <row r="5" spans="1:54" s="36" customFormat="1" ht="15.75" x14ac:dyDescent="0.25">
      <c r="A5" s="372" t="s">
        <v>288</v>
      </c>
      <c r="B5" s="373" t="s">
        <v>289</v>
      </c>
      <c r="C5" s="339" t="s">
        <v>368</v>
      </c>
      <c r="D5" s="339" t="s">
        <v>659</v>
      </c>
      <c r="E5" s="369" t="s">
        <v>290</v>
      </c>
      <c r="F5" s="339" t="s">
        <v>237</v>
      </c>
      <c r="G5" s="339"/>
      <c r="H5" s="339"/>
      <c r="I5" s="339"/>
      <c r="J5" s="332">
        <v>43973</v>
      </c>
      <c r="K5" s="332"/>
      <c r="L5" s="332">
        <v>44006</v>
      </c>
      <c r="M5" s="332"/>
      <c r="N5" s="343">
        <f t="shared" si="0"/>
        <v>33</v>
      </c>
      <c r="O5" s="339" t="s">
        <v>370</v>
      </c>
      <c r="P5" s="332">
        <v>44048</v>
      </c>
      <c r="Q5" s="332">
        <v>44237</v>
      </c>
      <c r="R5" s="332"/>
      <c r="S5" s="371">
        <f t="shared" si="1"/>
        <v>6.279069767441861</v>
      </c>
      <c r="T5" s="371" t="s">
        <v>237</v>
      </c>
      <c r="U5" s="371"/>
      <c r="V5" s="323">
        <v>845876</v>
      </c>
      <c r="W5" s="115">
        <v>628337</v>
      </c>
      <c r="X5" s="115">
        <v>137155</v>
      </c>
      <c r="Y5" s="177">
        <v>19492</v>
      </c>
      <c r="Z5" s="115">
        <v>60892</v>
      </c>
      <c r="AA5" s="242">
        <v>0</v>
      </c>
      <c r="AB5" s="115">
        <v>0</v>
      </c>
      <c r="AC5" s="115">
        <v>0</v>
      </c>
      <c r="AD5" s="115">
        <v>0</v>
      </c>
      <c r="AE5" s="115">
        <v>0</v>
      </c>
      <c r="AF5" s="115">
        <v>0</v>
      </c>
      <c r="AG5" s="115">
        <v>0</v>
      </c>
      <c r="AH5" s="115">
        <v>0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47"/>
      <c r="AX5" s="53">
        <f t="shared" si="2"/>
        <v>845876</v>
      </c>
      <c r="AY5" s="51"/>
      <c r="AZ5" s="359">
        <f t="shared" si="3"/>
        <v>0</v>
      </c>
      <c r="BB5" s="55"/>
    </row>
    <row r="6" spans="1:54" s="36" customFormat="1" ht="15.75" x14ac:dyDescent="0.25">
      <c r="A6" s="372" t="s">
        <v>292</v>
      </c>
      <c r="B6" s="373" t="s">
        <v>293</v>
      </c>
      <c r="C6" s="339" t="s">
        <v>368</v>
      </c>
      <c r="D6" s="339" t="s">
        <v>659</v>
      </c>
      <c r="E6" s="370" t="s">
        <v>294</v>
      </c>
      <c r="F6" s="339" t="s">
        <v>237</v>
      </c>
      <c r="G6" s="339"/>
      <c r="H6" s="339"/>
      <c r="I6" s="339"/>
      <c r="J6" s="332">
        <v>44041</v>
      </c>
      <c r="K6" s="332"/>
      <c r="L6" s="332">
        <v>44106</v>
      </c>
      <c r="M6" s="332"/>
      <c r="N6" s="343">
        <f t="shared" si="0"/>
        <v>65</v>
      </c>
      <c r="O6" s="339" t="s">
        <v>370</v>
      </c>
      <c r="P6" s="332">
        <v>44102</v>
      </c>
      <c r="Q6" s="332">
        <v>44241</v>
      </c>
      <c r="R6" s="332"/>
      <c r="S6" s="371">
        <f t="shared" si="1"/>
        <v>4.6179401993355489</v>
      </c>
      <c r="T6" s="371" t="s">
        <v>237</v>
      </c>
      <c r="U6" s="371"/>
      <c r="V6" s="323">
        <v>303150</v>
      </c>
      <c r="W6" s="115">
        <v>162612</v>
      </c>
      <c r="X6" s="115">
        <v>95646</v>
      </c>
      <c r="Y6" s="177">
        <v>33342</v>
      </c>
      <c r="Z6" s="115">
        <v>5713</v>
      </c>
      <c r="AA6" s="242">
        <v>5837</v>
      </c>
      <c r="AB6" s="115">
        <v>0</v>
      </c>
      <c r="AC6" s="115">
        <v>0</v>
      </c>
      <c r="AD6" s="115">
        <v>0</v>
      </c>
      <c r="AE6" s="115">
        <v>0</v>
      </c>
      <c r="AF6" s="115">
        <v>0</v>
      </c>
      <c r="AG6" s="115">
        <v>0</v>
      </c>
      <c r="AH6" s="115">
        <v>0</v>
      </c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47"/>
      <c r="AX6" s="53">
        <f t="shared" si="2"/>
        <v>303150</v>
      </c>
      <c r="AY6" s="51"/>
      <c r="AZ6" s="359">
        <f t="shared" si="3"/>
        <v>0</v>
      </c>
      <c r="BB6" s="55"/>
    </row>
    <row r="7" spans="1:54" s="36" customFormat="1" ht="15.75" x14ac:dyDescent="0.25">
      <c r="A7" s="372" t="s">
        <v>295</v>
      </c>
      <c r="B7" s="372" t="s">
        <v>296</v>
      </c>
      <c r="C7" s="404" t="s">
        <v>368</v>
      </c>
      <c r="D7" s="339" t="s">
        <v>659</v>
      </c>
      <c r="E7" s="405" t="s">
        <v>616</v>
      </c>
      <c r="F7" s="339" t="s">
        <v>237</v>
      </c>
      <c r="G7" s="339"/>
      <c r="H7" s="339"/>
      <c r="I7" s="339"/>
      <c r="J7" s="332">
        <v>44007</v>
      </c>
      <c r="K7" s="332"/>
      <c r="L7" s="332">
        <v>44029</v>
      </c>
      <c r="M7" s="332"/>
      <c r="N7" s="343">
        <f t="shared" si="0"/>
        <v>22</v>
      </c>
      <c r="O7" s="339" t="s">
        <v>370</v>
      </c>
      <c r="P7" s="332">
        <v>44102</v>
      </c>
      <c r="Q7" s="332">
        <v>44237</v>
      </c>
      <c r="R7" s="332"/>
      <c r="S7" s="371">
        <f t="shared" si="1"/>
        <v>4.485049833887043</v>
      </c>
      <c r="T7" s="371" t="s">
        <v>237</v>
      </c>
      <c r="U7" s="371"/>
      <c r="V7" s="323">
        <v>222517</v>
      </c>
      <c r="W7" s="115">
        <v>131745</v>
      </c>
      <c r="X7" s="115">
        <v>62828</v>
      </c>
      <c r="Y7" s="177">
        <v>27944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0</v>
      </c>
      <c r="AH7" s="115">
        <v>0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47"/>
      <c r="AX7" s="53">
        <f t="shared" si="2"/>
        <v>222517</v>
      </c>
      <c r="AY7" s="51"/>
      <c r="AZ7" s="359">
        <f t="shared" si="3"/>
        <v>0</v>
      </c>
    </row>
    <row r="8" spans="1:54" s="36" customFormat="1" ht="15.75" x14ac:dyDescent="0.25">
      <c r="A8" s="34" t="s">
        <v>166</v>
      </c>
      <c r="B8" s="35" t="s">
        <v>168</v>
      </c>
      <c r="C8" s="298" t="s">
        <v>368</v>
      </c>
      <c r="D8" s="298" t="s">
        <v>402</v>
      </c>
      <c r="E8" s="300" t="s">
        <v>169</v>
      </c>
      <c r="F8" s="298" t="s">
        <v>46</v>
      </c>
      <c r="G8" s="298"/>
      <c r="H8" s="298"/>
      <c r="I8" s="298"/>
      <c r="J8" s="329">
        <v>44243</v>
      </c>
      <c r="K8" s="329"/>
      <c r="L8" s="329">
        <v>44302</v>
      </c>
      <c r="M8" s="329"/>
      <c r="N8" s="346">
        <f t="shared" si="0"/>
        <v>59</v>
      </c>
      <c r="O8" s="52" t="s">
        <v>370</v>
      </c>
      <c r="P8" s="329">
        <v>44319</v>
      </c>
      <c r="Q8" s="298">
        <v>44505</v>
      </c>
      <c r="R8" s="298"/>
      <c r="S8" s="301">
        <f t="shared" si="1"/>
        <v>6.1794019933554827</v>
      </c>
      <c r="T8" s="301"/>
      <c r="U8" s="301"/>
      <c r="V8" s="181">
        <v>1181870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154842</v>
      </c>
      <c r="AC8" s="115">
        <v>139424</v>
      </c>
      <c r="AD8" s="115">
        <v>0</v>
      </c>
      <c r="AE8" s="115">
        <v>383465</v>
      </c>
      <c r="AF8" s="115">
        <v>27725.91</v>
      </c>
      <c r="AG8" s="115">
        <v>0</v>
      </c>
      <c r="AH8" s="115">
        <v>157207.63999999998</v>
      </c>
      <c r="AI8" s="275">
        <v>226413.09</v>
      </c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3"/>
      <c r="AW8" s="47"/>
      <c r="AX8" s="53">
        <f t="shared" si="2"/>
        <v>1089077.6400000001</v>
      </c>
      <c r="AY8" s="51"/>
      <c r="AZ8" s="359">
        <f t="shared" si="3"/>
        <v>-92792.35999999987</v>
      </c>
      <c r="BA8" s="36" t="s">
        <v>748</v>
      </c>
    </row>
    <row r="9" spans="1:54" s="36" customFormat="1" ht="15.75" x14ac:dyDescent="0.25">
      <c r="A9" s="334" t="s">
        <v>23</v>
      </c>
      <c r="B9" s="335" t="s">
        <v>25</v>
      </c>
      <c r="C9" s="339" t="s">
        <v>368</v>
      </c>
      <c r="D9" s="339" t="s">
        <v>659</v>
      </c>
      <c r="E9" s="369" t="s">
        <v>26</v>
      </c>
      <c r="F9" s="339" t="s">
        <v>237</v>
      </c>
      <c r="G9" s="339"/>
      <c r="H9" s="339"/>
      <c r="I9" s="339"/>
      <c r="J9" s="368">
        <v>44046</v>
      </c>
      <c r="K9" s="368"/>
      <c r="L9" s="368">
        <v>44162</v>
      </c>
      <c r="M9" s="368"/>
      <c r="N9" s="343">
        <f t="shared" si="0"/>
        <v>116</v>
      </c>
      <c r="O9" s="321" t="s">
        <v>370</v>
      </c>
      <c r="P9" s="332">
        <v>44144</v>
      </c>
      <c r="Q9" s="332">
        <v>44407</v>
      </c>
      <c r="R9" s="332"/>
      <c r="S9" s="322">
        <f t="shared" si="1"/>
        <v>8.7375415282392019</v>
      </c>
      <c r="T9" s="322" t="s">
        <v>237</v>
      </c>
      <c r="U9" s="322"/>
      <c r="V9" s="323">
        <v>1307434</v>
      </c>
      <c r="W9" s="115">
        <v>244435</v>
      </c>
      <c r="X9" s="115">
        <v>181308</v>
      </c>
      <c r="Y9" s="115">
        <v>16313</v>
      </c>
      <c r="Z9" s="115">
        <v>286477</v>
      </c>
      <c r="AA9" s="242">
        <v>175065</v>
      </c>
      <c r="AB9" s="115">
        <v>254689</v>
      </c>
      <c r="AC9" s="115">
        <v>149147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47"/>
      <c r="AX9" s="53">
        <f t="shared" si="2"/>
        <v>1307434</v>
      </c>
      <c r="AY9" s="51"/>
      <c r="AZ9" s="359">
        <f t="shared" si="3"/>
        <v>0</v>
      </c>
    </row>
    <row r="10" spans="1:54" s="36" customFormat="1" ht="15.75" x14ac:dyDescent="0.25">
      <c r="A10" s="366" t="s">
        <v>31</v>
      </c>
      <c r="B10" s="367" t="s">
        <v>745</v>
      </c>
      <c r="C10" s="339" t="s">
        <v>368</v>
      </c>
      <c r="D10" s="339" t="s">
        <v>659</v>
      </c>
      <c r="E10" s="369" t="s">
        <v>617</v>
      </c>
      <c r="F10" s="339" t="s">
        <v>237</v>
      </c>
      <c r="G10" s="339"/>
      <c r="H10" s="339"/>
      <c r="I10" s="339"/>
      <c r="J10" s="368">
        <v>44049</v>
      </c>
      <c r="K10" s="368"/>
      <c r="L10" s="368">
        <v>44163</v>
      </c>
      <c r="M10" s="368"/>
      <c r="N10" s="343">
        <f t="shared" si="0"/>
        <v>114</v>
      </c>
      <c r="O10" s="321" t="s">
        <v>370</v>
      </c>
      <c r="P10" s="332">
        <v>44144</v>
      </c>
      <c r="Q10" s="332">
        <v>44418</v>
      </c>
      <c r="R10" s="332"/>
      <c r="S10" s="322">
        <f t="shared" si="1"/>
        <v>9.1029900332225928</v>
      </c>
      <c r="T10" s="322" t="s">
        <v>237</v>
      </c>
      <c r="U10" s="322"/>
      <c r="V10" s="323">
        <v>278383</v>
      </c>
      <c r="W10" s="115">
        <v>46929</v>
      </c>
      <c r="X10" s="115">
        <v>38525</v>
      </c>
      <c r="Y10" s="115">
        <v>0</v>
      </c>
      <c r="Z10" s="115">
        <v>45735</v>
      </c>
      <c r="AA10" s="242">
        <v>40858</v>
      </c>
      <c r="AB10" s="115">
        <f>6750+26297</f>
        <v>33047</v>
      </c>
      <c r="AC10" s="115">
        <v>43566</v>
      </c>
      <c r="AD10" s="115">
        <v>18912</v>
      </c>
      <c r="AE10" s="115">
        <v>0</v>
      </c>
      <c r="AF10" s="115">
        <v>0</v>
      </c>
      <c r="AG10" s="115">
        <v>0</v>
      </c>
      <c r="AH10" s="115">
        <v>0</v>
      </c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47"/>
      <c r="AX10" s="53">
        <f t="shared" si="2"/>
        <v>267572</v>
      </c>
      <c r="AY10" s="51"/>
      <c r="AZ10" s="359">
        <f t="shared" si="3"/>
        <v>-10811</v>
      </c>
    </row>
    <row r="11" spans="1:54" s="36" customFormat="1" ht="15.75" x14ac:dyDescent="0.25">
      <c r="A11" s="366" t="s">
        <v>33</v>
      </c>
      <c r="B11" s="366" t="s">
        <v>746</v>
      </c>
      <c r="C11" s="339" t="s">
        <v>368</v>
      </c>
      <c r="D11" s="339" t="s">
        <v>659</v>
      </c>
      <c r="E11" s="370" t="s">
        <v>618</v>
      </c>
      <c r="F11" s="339" t="s">
        <v>237</v>
      </c>
      <c r="G11" s="339"/>
      <c r="H11" s="339"/>
      <c r="I11" s="339"/>
      <c r="J11" s="368">
        <v>44054</v>
      </c>
      <c r="K11" s="368"/>
      <c r="L11" s="368">
        <v>44163</v>
      </c>
      <c r="M11" s="368"/>
      <c r="N11" s="343">
        <f t="shared" si="0"/>
        <v>109</v>
      </c>
      <c r="O11" s="339" t="s">
        <v>370</v>
      </c>
      <c r="P11" s="332">
        <v>44144</v>
      </c>
      <c r="Q11" s="332">
        <v>44410</v>
      </c>
      <c r="R11" s="332"/>
      <c r="S11" s="322">
        <f t="shared" si="1"/>
        <v>8.8372093023255811</v>
      </c>
      <c r="T11" s="322" t="s">
        <v>237</v>
      </c>
      <c r="U11" s="322"/>
      <c r="V11" s="323">
        <v>231276</v>
      </c>
      <c r="W11" s="115">
        <v>34010</v>
      </c>
      <c r="X11" s="115">
        <v>31345</v>
      </c>
      <c r="Y11" s="115">
        <v>0</v>
      </c>
      <c r="Z11" s="115">
        <v>42608</v>
      </c>
      <c r="AA11" s="242">
        <v>27037</v>
      </c>
      <c r="AB11" s="115">
        <f>9333+19266</f>
        <v>28599</v>
      </c>
      <c r="AC11" s="115">
        <v>46383</v>
      </c>
      <c r="AD11" s="115">
        <f>6580+13609</f>
        <v>20189</v>
      </c>
      <c r="AE11" s="115">
        <v>1105</v>
      </c>
      <c r="AF11" s="115">
        <v>0</v>
      </c>
      <c r="AG11" s="115">
        <v>0</v>
      </c>
      <c r="AH11" s="115">
        <v>0</v>
      </c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47"/>
      <c r="AX11" s="53">
        <f t="shared" si="2"/>
        <v>231276</v>
      </c>
      <c r="AY11" s="51"/>
      <c r="AZ11" s="359">
        <f t="shared" si="3"/>
        <v>0</v>
      </c>
    </row>
    <row r="12" spans="1:54" s="36" customFormat="1" ht="15.75" x14ac:dyDescent="0.25">
      <c r="A12" s="366" t="s">
        <v>35</v>
      </c>
      <c r="B12" s="366" t="s">
        <v>36</v>
      </c>
      <c r="C12" s="321" t="s">
        <v>368</v>
      </c>
      <c r="D12" s="321" t="s">
        <v>401</v>
      </c>
      <c r="E12" s="400" t="s">
        <v>37</v>
      </c>
      <c r="F12" s="339" t="s">
        <v>237</v>
      </c>
      <c r="G12" s="339"/>
      <c r="H12" s="339"/>
      <c r="I12" s="339"/>
      <c r="J12" s="332">
        <v>44098</v>
      </c>
      <c r="K12" s="332"/>
      <c r="L12" s="332">
        <v>44166</v>
      </c>
      <c r="M12" s="332"/>
      <c r="N12" s="343">
        <f t="shared" si="0"/>
        <v>68</v>
      </c>
      <c r="O12" s="339" t="s">
        <v>370</v>
      </c>
      <c r="P12" s="332">
        <v>44241</v>
      </c>
      <c r="Q12" s="332">
        <v>44412</v>
      </c>
      <c r="R12" s="332"/>
      <c r="S12" s="322">
        <f t="shared" si="1"/>
        <v>5.6810631229235877</v>
      </c>
      <c r="T12" s="322" t="s">
        <v>237</v>
      </c>
      <c r="U12" s="322"/>
      <c r="V12" s="323">
        <v>984546</v>
      </c>
      <c r="W12" s="115">
        <v>230830</v>
      </c>
      <c r="X12" s="115">
        <v>155142</v>
      </c>
      <c r="Y12" s="115">
        <v>20934</v>
      </c>
      <c r="Z12" s="115">
        <v>247073</v>
      </c>
      <c r="AA12" s="242">
        <v>88548</v>
      </c>
      <c r="AB12" s="115">
        <f>14953+98288</f>
        <v>113241</v>
      </c>
      <c r="AC12" s="115">
        <v>61708</v>
      </c>
      <c r="AD12" s="115">
        <v>67070</v>
      </c>
      <c r="AE12" s="115">
        <v>0</v>
      </c>
      <c r="AF12" s="115">
        <v>0</v>
      </c>
      <c r="AG12" s="115">
        <v>0</v>
      </c>
      <c r="AH12" s="115">
        <v>0</v>
      </c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47"/>
      <c r="AX12" s="53">
        <f t="shared" si="2"/>
        <v>984546</v>
      </c>
      <c r="AY12" s="51"/>
      <c r="AZ12" s="359">
        <f t="shared" si="3"/>
        <v>0</v>
      </c>
    </row>
    <row r="13" spans="1:54" s="36" customFormat="1" ht="15.75" x14ac:dyDescent="0.25">
      <c r="A13" s="34" t="s">
        <v>170</v>
      </c>
      <c r="B13" s="34" t="s">
        <v>621</v>
      </c>
      <c r="C13" s="394" t="s">
        <v>368</v>
      </c>
      <c r="D13" s="52" t="s">
        <v>402</v>
      </c>
      <c r="E13" s="399" t="s">
        <v>172</v>
      </c>
      <c r="F13" s="52" t="s">
        <v>46</v>
      </c>
      <c r="G13" s="52"/>
      <c r="H13" s="52"/>
      <c r="I13" s="52"/>
      <c r="J13" s="329">
        <v>44201</v>
      </c>
      <c r="K13" s="329"/>
      <c r="L13" s="329">
        <v>44302</v>
      </c>
      <c r="M13" s="329"/>
      <c r="N13" s="346">
        <f t="shared" si="0"/>
        <v>101</v>
      </c>
      <c r="O13" s="299" t="s">
        <v>370</v>
      </c>
      <c r="P13" s="329">
        <v>44415</v>
      </c>
      <c r="Q13" s="298">
        <v>44558</v>
      </c>
      <c r="R13" s="298"/>
      <c r="S13" s="50">
        <f t="shared" si="1"/>
        <v>4.750830564784053</v>
      </c>
      <c r="T13" s="50"/>
      <c r="U13" s="50"/>
      <c r="V13" s="182">
        <v>1051400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f>111250</f>
        <v>111250</v>
      </c>
      <c r="AD13" s="115">
        <v>14446</v>
      </c>
      <c r="AE13" s="115">
        <v>326666</v>
      </c>
      <c r="AF13" s="115">
        <v>140279.28999999998</v>
      </c>
      <c r="AG13" s="115">
        <v>169323.90000000002</v>
      </c>
      <c r="AH13" s="115">
        <v>144372.98000000001</v>
      </c>
      <c r="AI13" s="275">
        <v>90000</v>
      </c>
      <c r="AJ13" s="275">
        <v>49434.81</v>
      </c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3"/>
      <c r="AW13" s="47"/>
      <c r="AX13" s="53">
        <f t="shared" si="2"/>
        <v>1045772.98</v>
      </c>
      <c r="AY13" s="51"/>
      <c r="AZ13" s="359">
        <f t="shared" si="3"/>
        <v>-5627.0200000000186</v>
      </c>
    </row>
    <row r="14" spans="1:54" s="36" customFormat="1" ht="15.75" x14ac:dyDescent="0.25">
      <c r="A14" s="369" t="s">
        <v>41</v>
      </c>
      <c r="B14" s="369" t="s">
        <v>42</v>
      </c>
      <c r="C14" s="339" t="s">
        <v>368</v>
      </c>
      <c r="D14" s="339" t="s">
        <v>402</v>
      </c>
      <c r="E14" s="397" t="s">
        <v>43</v>
      </c>
      <c r="F14" s="339" t="s">
        <v>237</v>
      </c>
      <c r="G14" s="339"/>
      <c r="H14" s="339"/>
      <c r="I14" s="339"/>
      <c r="J14" s="332">
        <v>44225</v>
      </c>
      <c r="K14" s="332"/>
      <c r="L14" s="332">
        <f>J14+35</f>
        <v>44260</v>
      </c>
      <c r="M14" s="332"/>
      <c r="N14" s="343">
        <f t="shared" si="0"/>
        <v>35</v>
      </c>
      <c r="O14" s="339" t="s">
        <v>370</v>
      </c>
      <c r="P14" s="332">
        <v>44256</v>
      </c>
      <c r="Q14" s="332">
        <v>44393</v>
      </c>
      <c r="R14" s="332"/>
      <c r="S14" s="371">
        <f t="shared" si="1"/>
        <v>4.5514950166112964</v>
      </c>
      <c r="T14" s="371" t="s">
        <v>237</v>
      </c>
      <c r="U14" s="371"/>
      <c r="V14" s="323">
        <f>723063-1</f>
        <v>723062</v>
      </c>
      <c r="W14" s="115">
        <v>0</v>
      </c>
      <c r="X14" s="115">
        <v>0</v>
      </c>
      <c r="Y14" s="115">
        <v>0</v>
      </c>
      <c r="Z14" s="115">
        <v>79004</v>
      </c>
      <c r="AA14" s="242">
        <v>201430</v>
      </c>
      <c r="AB14" s="115">
        <f>30182+141103</f>
        <v>171285</v>
      </c>
      <c r="AC14" s="115">
        <v>187324</v>
      </c>
      <c r="AD14" s="115">
        <v>84019</v>
      </c>
      <c r="AE14" s="115">
        <v>0</v>
      </c>
      <c r="AF14" s="115">
        <v>0</v>
      </c>
      <c r="AG14" s="115">
        <v>0</v>
      </c>
      <c r="AH14" s="115">
        <v>0</v>
      </c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47"/>
      <c r="AX14" s="53">
        <f t="shared" si="2"/>
        <v>723062</v>
      </c>
      <c r="AY14" s="51"/>
      <c r="AZ14" s="359">
        <f t="shared" si="3"/>
        <v>0</v>
      </c>
    </row>
    <row r="15" spans="1:54" s="36" customFormat="1" ht="15.75" x14ac:dyDescent="0.25">
      <c r="A15" s="113" t="s">
        <v>174</v>
      </c>
      <c r="B15" s="113" t="s">
        <v>175</v>
      </c>
      <c r="C15" s="299" t="s">
        <v>368</v>
      </c>
      <c r="D15" s="299" t="s">
        <v>402</v>
      </c>
      <c r="E15" s="401" t="s">
        <v>172</v>
      </c>
      <c r="F15" s="299" t="s">
        <v>46</v>
      </c>
      <c r="G15" s="299"/>
      <c r="H15" s="299"/>
      <c r="I15" s="299"/>
      <c r="J15" s="329">
        <v>44362</v>
      </c>
      <c r="K15" s="329"/>
      <c r="L15" s="329">
        <v>44418</v>
      </c>
      <c r="M15" s="329"/>
      <c r="N15" s="346">
        <f t="shared" si="0"/>
        <v>56</v>
      </c>
      <c r="O15" s="52" t="s">
        <v>370</v>
      </c>
      <c r="P15" s="329">
        <v>44382</v>
      </c>
      <c r="Q15" s="298">
        <v>44558</v>
      </c>
      <c r="R15" s="298"/>
      <c r="S15" s="50">
        <f t="shared" si="1"/>
        <v>5.8471760797342194</v>
      </c>
      <c r="T15" s="50"/>
      <c r="U15" s="50"/>
      <c r="V15" s="182">
        <v>1367414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99756</v>
      </c>
      <c r="AF15" s="115">
        <v>330951.22000000003</v>
      </c>
      <c r="AG15" s="115">
        <v>217391.16</v>
      </c>
      <c r="AH15" s="115">
        <v>176608.81</v>
      </c>
      <c r="AI15" s="275">
        <v>250000</v>
      </c>
      <c r="AJ15" s="275">
        <v>219315.62</v>
      </c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3"/>
      <c r="AW15" s="47"/>
      <c r="AX15" s="53">
        <f t="shared" si="2"/>
        <v>1294022.81</v>
      </c>
      <c r="AY15" s="51"/>
      <c r="AZ15" s="359">
        <f t="shared" si="3"/>
        <v>-73391.189999999944</v>
      </c>
      <c r="BB15" s="55"/>
    </row>
    <row r="16" spans="1:54" s="36" customFormat="1" ht="15.75" x14ac:dyDescent="0.25">
      <c r="A16" s="374" t="s">
        <v>176</v>
      </c>
      <c r="B16" s="374" t="s">
        <v>177</v>
      </c>
      <c r="C16" s="52" t="s">
        <v>368</v>
      </c>
      <c r="D16" s="299" t="s">
        <v>402</v>
      </c>
      <c r="E16" s="112" t="s">
        <v>642</v>
      </c>
      <c r="F16" s="299" t="s">
        <v>46</v>
      </c>
      <c r="G16" s="299" t="s">
        <v>370</v>
      </c>
      <c r="H16" s="299" t="s">
        <v>370</v>
      </c>
      <c r="I16" s="299"/>
      <c r="J16" s="330">
        <v>44367</v>
      </c>
      <c r="K16" s="330"/>
      <c r="L16" s="329">
        <v>44533</v>
      </c>
      <c r="M16" s="298"/>
      <c r="N16" s="333">
        <f t="shared" si="0"/>
        <v>166</v>
      </c>
      <c r="O16" s="52" t="s">
        <v>370</v>
      </c>
      <c r="P16" s="377">
        <v>44517</v>
      </c>
      <c r="Q16" s="87">
        <v>44589</v>
      </c>
      <c r="R16" s="52"/>
      <c r="S16" s="50">
        <f t="shared" si="1"/>
        <v>2.3920265780730898</v>
      </c>
      <c r="T16" s="50"/>
      <c r="U16" s="50"/>
      <c r="V16" s="182">
        <v>266165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275">
        <v>36165</v>
      </c>
      <c r="AJ16" s="275">
        <v>180000</v>
      </c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3"/>
      <c r="AW16" s="47"/>
      <c r="AX16" s="53">
        <f t="shared" si="2"/>
        <v>216165</v>
      </c>
      <c r="AY16" s="51"/>
      <c r="AZ16" s="359">
        <f t="shared" si="3"/>
        <v>-50000</v>
      </c>
    </row>
    <row r="17" spans="1:54" s="36" customFormat="1" ht="15.75" x14ac:dyDescent="0.25">
      <c r="A17" s="319" t="s">
        <v>47</v>
      </c>
      <c r="B17" s="319" t="s">
        <v>48</v>
      </c>
      <c r="C17" s="402" t="s">
        <v>368</v>
      </c>
      <c r="D17" s="321" t="s">
        <v>401</v>
      </c>
      <c r="E17" s="403" t="s">
        <v>646</v>
      </c>
      <c r="F17" s="321" t="s">
        <v>237</v>
      </c>
      <c r="G17" s="321"/>
      <c r="H17" s="321"/>
      <c r="I17" s="321"/>
      <c r="J17" s="368">
        <v>44166</v>
      </c>
      <c r="K17" s="368"/>
      <c r="L17" s="368">
        <v>44186</v>
      </c>
      <c r="M17" s="368"/>
      <c r="N17" s="343">
        <f t="shared" si="0"/>
        <v>20</v>
      </c>
      <c r="O17" s="339" t="s">
        <v>370</v>
      </c>
      <c r="P17" s="368">
        <v>44228</v>
      </c>
      <c r="Q17" s="332">
        <v>44286</v>
      </c>
      <c r="R17" s="332"/>
      <c r="S17" s="322">
        <f t="shared" si="1"/>
        <v>1.9269102990033224</v>
      </c>
      <c r="T17" s="322" t="s">
        <v>237</v>
      </c>
      <c r="U17" s="322"/>
      <c r="V17" s="323">
        <v>81500</v>
      </c>
      <c r="W17" s="115">
        <v>0</v>
      </c>
      <c r="X17" s="115">
        <v>0</v>
      </c>
      <c r="Y17" s="115">
        <v>0</v>
      </c>
      <c r="Z17" s="115">
        <v>81500</v>
      </c>
      <c r="AA17" s="242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58"/>
      <c r="AJ17" s="58">
        <v>0</v>
      </c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47"/>
      <c r="AX17" s="53">
        <f t="shared" si="2"/>
        <v>81500</v>
      </c>
      <c r="AY17" s="51"/>
      <c r="AZ17" s="359">
        <f t="shared" si="3"/>
        <v>0</v>
      </c>
    </row>
    <row r="18" spans="1:54" s="36" customFormat="1" ht="15.75" x14ac:dyDescent="0.25">
      <c r="A18" s="374" t="s">
        <v>485</v>
      </c>
      <c r="B18" s="374" t="s">
        <v>599</v>
      </c>
      <c r="C18" s="87" t="s">
        <v>368</v>
      </c>
      <c r="D18" s="52" t="s">
        <v>401</v>
      </c>
      <c r="E18" s="34" t="s">
        <v>707</v>
      </c>
      <c r="F18" s="52" t="s">
        <v>46</v>
      </c>
      <c r="G18" s="52" t="s">
        <v>370</v>
      </c>
      <c r="H18" s="52" t="s">
        <v>370</v>
      </c>
      <c r="I18" s="52"/>
      <c r="J18" s="330">
        <v>44391</v>
      </c>
      <c r="K18" s="330"/>
      <c r="L18" s="329">
        <v>44456</v>
      </c>
      <c r="M18" s="329"/>
      <c r="N18" s="333">
        <f t="shared" si="0"/>
        <v>65</v>
      </c>
      <c r="O18" s="52" t="s">
        <v>370</v>
      </c>
      <c r="P18" s="377">
        <v>44501</v>
      </c>
      <c r="Q18" s="52">
        <f>P18+(8*4.3*7)</f>
        <v>44741.8</v>
      </c>
      <c r="R18" s="52"/>
      <c r="S18" s="50">
        <f t="shared" si="1"/>
        <v>8.0000000000000977</v>
      </c>
      <c r="T18" s="50"/>
      <c r="U18" s="50"/>
      <c r="V18" s="182">
        <v>1180416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192936.95</v>
      </c>
      <c r="AH18" s="115">
        <v>0</v>
      </c>
      <c r="AI18" s="275">
        <v>150000</v>
      </c>
      <c r="AJ18" s="275">
        <v>150000</v>
      </c>
      <c r="AK18" s="275">
        <v>150000</v>
      </c>
      <c r="AL18" s="275">
        <v>150000</v>
      </c>
      <c r="AM18" s="275">
        <v>100000</v>
      </c>
      <c r="AN18" s="275">
        <v>100000</v>
      </c>
      <c r="AO18" s="275">
        <v>37479.050000000003</v>
      </c>
      <c r="AP18" s="58"/>
      <c r="AQ18" s="58"/>
      <c r="AR18" s="58"/>
      <c r="AS18" s="58"/>
      <c r="AT18" s="58"/>
      <c r="AU18" s="58"/>
      <c r="AV18" s="53"/>
      <c r="AW18" s="47"/>
      <c r="AX18" s="53">
        <f t="shared" si="2"/>
        <v>1030416</v>
      </c>
      <c r="AY18" s="51"/>
      <c r="AZ18" s="359">
        <f t="shared" si="3"/>
        <v>-150000</v>
      </c>
    </row>
    <row r="19" spans="1:54" s="36" customFormat="1" ht="15.75" x14ac:dyDescent="0.25">
      <c r="A19" s="374" t="s">
        <v>486</v>
      </c>
      <c r="B19" s="374" t="s">
        <v>601</v>
      </c>
      <c r="C19" s="87" t="s">
        <v>368</v>
      </c>
      <c r="D19" s="52" t="s">
        <v>401</v>
      </c>
      <c r="E19" s="61" t="s">
        <v>705</v>
      </c>
      <c r="F19" s="52" t="s">
        <v>46</v>
      </c>
      <c r="G19" s="52" t="s">
        <v>370</v>
      </c>
      <c r="H19" s="52" t="s">
        <v>370</v>
      </c>
      <c r="I19" s="52"/>
      <c r="J19" s="329">
        <v>44508</v>
      </c>
      <c r="K19" s="329"/>
      <c r="L19" s="329">
        <v>44539</v>
      </c>
      <c r="M19" s="87"/>
      <c r="N19" s="333">
        <f t="shared" si="0"/>
        <v>31</v>
      </c>
      <c r="O19" s="52" t="s">
        <v>791</v>
      </c>
      <c r="P19" s="377">
        <v>44544</v>
      </c>
      <c r="Q19" s="52">
        <f>P19+(6*4.3*7)</f>
        <v>44724.6</v>
      </c>
      <c r="R19" s="52"/>
      <c r="S19" s="50">
        <f t="shared" si="1"/>
        <v>5.999999999999952</v>
      </c>
      <c r="T19" s="50"/>
      <c r="U19" s="50"/>
      <c r="V19" s="182">
        <v>250338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12582.01</v>
      </c>
      <c r="AH19" s="115">
        <v>0</v>
      </c>
      <c r="AI19" s="275">
        <v>25000</v>
      </c>
      <c r="AJ19" s="275">
        <v>25000</v>
      </c>
      <c r="AK19" s="275">
        <v>25000</v>
      </c>
      <c r="AL19" s="275">
        <v>50000</v>
      </c>
      <c r="AM19" s="275">
        <v>50000</v>
      </c>
      <c r="AN19" s="275">
        <v>25000</v>
      </c>
      <c r="AO19" s="275">
        <v>12755.99</v>
      </c>
      <c r="AP19" s="58"/>
      <c r="AQ19" s="58"/>
      <c r="AR19" s="58"/>
      <c r="AS19" s="58"/>
      <c r="AT19" s="58"/>
      <c r="AU19" s="58"/>
      <c r="AV19" s="53"/>
      <c r="AW19" s="47"/>
      <c r="AX19" s="53">
        <f t="shared" si="2"/>
        <v>225338</v>
      </c>
      <c r="AY19" s="51"/>
      <c r="AZ19" s="359">
        <f t="shared" si="3"/>
        <v>-25000</v>
      </c>
    </row>
    <row r="20" spans="1:54" s="36" customFormat="1" ht="15.75" x14ac:dyDescent="0.25">
      <c r="A20" s="386" t="s">
        <v>679</v>
      </c>
      <c r="B20" s="393" t="s">
        <v>600</v>
      </c>
      <c r="C20" s="87" t="s">
        <v>368</v>
      </c>
      <c r="D20" s="52" t="s">
        <v>401</v>
      </c>
      <c r="E20" s="61" t="s">
        <v>706</v>
      </c>
      <c r="F20" s="52" t="s">
        <v>623</v>
      </c>
      <c r="G20" s="52" t="s">
        <v>320</v>
      </c>
      <c r="H20" s="52" t="s">
        <v>370</v>
      </c>
      <c r="I20" s="52"/>
      <c r="J20" s="330">
        <v>44536</v>
      </c>
      <c r="K20" s="299"/>
      <c r="L20" s="87">
        <v>44575</v>
      </c>
      <c r="M20" s="87"/>
      <c r="N20" s="50">
        <f t="shared" si="0"/>
        <v>39</v>
      </c>
      <c r="O20" s="52" t="s">
        <v>320</v>
      </c>
      <c r="P20" s="376">
        <v>44575</v>
      </c>
      <c r="Q20" s="52">
        <f>P20+(6*4.3*7)</f>
        <v>44755.6</v>
      </c>
      <c r="R20" s="52"/>
      <c r="S20" s="50">
        <f t="shared" si="1"/>
        <v>5.999999999999952</v>
      </c>
      <c r="T20" s="50"/>
      <c r="U20" s="50"/>
      <c r="V20" s="182">
        <v>402660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34445.589999999997</v>
      </c>
      <c r="AH20" s="115">
        <v>0</v>
      </c>
      <c r="AI20" s="275">
        <v>25000</v>
      </c>
      <c r="AJ20" s="275">
        <v>25000</v>
      </c>
      <c r="AK20" s="275">
        <v>75000</v>
      </c>
      <c r="AL20" s="275">
        <v>75000</v>
      </c>
      <c r="AM20" s="275">
        <v>75000</v>
      </c>
      <c r="AN20" s="275">
        <v>50000</v>
      </c>
      <c r="AO20" s="275">
        <v>18214.41</v>
      </c>
      <c r="AP20" s="58"/>
      <c r="AQ20" s="58"/>
      <c r="AR20" s="58"/>
      <c r="AS20" s="58"/>
      <c r="AT20" s="58"/>
      <c r="AU20" s="58"/>
      <c r="AV20" s="53"/>
      <c r="AW20" s="47"/>
      <c r="AX20" s="53">
        <f t="shared" si="2"/>
        <v>377659.99999999994</v>
      </c>
      <c r="AY20" s="51"/>
      <c r="AZ20" s="359">
        <f t="shared" si="3"/>
        <v>-25000.000000000058</v>
      </c>
    </row>
    <row r="21" spans="1:54" s="36" customFormat="1" ht="15.75" x14ac:dyDescent="0.25">
      <c r="A21" s="384"/>
      <c r="B21" s="391"/>
      <c r="C21" s="91"/>
      <c r="D21" s="91"/>
      <c r="E21" s="391"/>
      <c r="F21" s="91"/>
      <c r="G21" s="91"/>
      <c r="H21" s="91"/>
      <c r="I21" s="91"/>
      <c r="J21" s="91"/>
      <c r="K21" s="91"/>
      <c r="L21" s="91"/>
      <c r="M21" s="91"/>
      <c r="N21" s="92"/>
      <c r="O21" s="91"/>
      <c r="P21" s="91"/>
      <c r="Q21" s="91"/>
      <c r="R21" s="91"/>
      <c r="S21" s="91"/>
      <c r="T21" s="92"/>
      <c r="U21" s="92"/>
      <c r="V21" s="243">
        <f t="shared" ref="V21:AV21" si="4">SUM(V4:V20)</f>
        <v>11283997</v>
      </c>
      <c r="W21" s="243">
        <f t="shared" si="4"/>
        <v>2047245</v>
      </c>
      <c r="X21" s="243">
        <f t="shared" si="4"/>
        <v>702828</v>
      </c>
      <c r="Y21" s="243">
        <f t="shared" si="4"/>
        <v>153598</v>
      </c>
      <c r="Z21" s="243">
        <f t="shared" si="4"/>
        <v>849658</v>
      </c>
      <c r="AA21" s="243">
        <f t="shared" si="4"/>
        <v>538775</v>
      </c>
      <c r="AB21" s="243">
        <f t="shared" si="4"/>
        <v>755703</v>
      </c>
      <c r="AC21" s="243">
        <f t="shared" si="4"/>
        <v>739337</v>
      </c>
      <c r="AD21" s="243">
        <f t="shared" si="4"/>
        <v>204636</v>
      </c>
      <c r="AE21" s="243">
        <f t="shared" si="4"/>
        <v>810992</v>
      </c>
      <c r="AF21" s="243">
        <f t="shared" si="4"/>
        <v>498956.42000000004</v>
      </c>
      <c r="AG21" s="243">
        <f t="shared" si="4"/>
        <v>626679.61</v>
      </c>
      <c r="AH21" s="243">
        <f>SUM(AH4:AH20)</f>
        <v>478189.43</v>
      </c>
      <c r="AI21" s="243">
        <f t="shared" si="4"/>
        <v>802578.09</v>
      </c>
      <c r="AJ21" s="243">
        <f t="shared" si="4"/>
        <v>648750.42999999993</v>
      </c>
      <c r="AK21" s="243">
        <f t="shared" si="4"/>
        <v>250000</v>
      </c>
      <c r="AL21" s="243">
        <f t="shared" si="4"/>
        <v>275000</v>
      </c>
      <c r="AM21" s="243">
        <f t="shared" si="4"/>
        <v>225000</v>
      </c>
      <c r="AN21" s="243">
        <f t="shared" si="4"/>
        <v>175000</v>
      </c>
      <c r="AO21" s="243">
        <f t="shared" si="4"/>
        <v>68449.45</v>
      </c>
      <c r="AP21" s="243">
        <f t="shared" si="4"/>
        <v>0</v>
      </c>
      <c r="AQ21" s="243">
        <f t="shared" si="4"/>
        <v>0</v>
      </c>
      <c r="AR21" s="243">
        <f t="shared" si="4"/>
        <v>0</v>
      </c>
      <c r="AS21" s="243">
        <f t="shared" si="4"/>
        <v>0</v>
      </c>
      <c r="AT21" s="243">
        <f t="shared" si="4"/>
        <v>0</v>
      </c>
      <c r="AU21" s="243">
        <f t="shared" si="4"/>
        <v>0</v>
      </c>
      <c r="AV21" s="243">
        <f t="shared" si="4"/>
        <v>0</v>
      </c>
      <c r="AW21" s="47"/>
      <c r="AX21" s="59">
        <f t="shared" si="2"/>
        <v>10851375.43</v>
      </c>
      <c r="AY21" s="51"/>
      <c r="AZ21" s="359">
        <f t="shared" si="3"/>
        <v>-432621.5700000003</v>
      </c>
      <c r="BA21" s="55"/>
    </row>
    <row r="22" spans="1:54" s="36" customFormat="1" ht="15.75" x14ac:dyDescent="0.25">
      <c r="A22" s="381" t="s">
        <v>119</v>
      </c>
      <c r="B22" s="106"/>
      <c r="C22" s="102" t="s">
        <v>387</v>
      </c>
      <c r="D22" s="102"/>
      <c r="E22" s="381"/>
      <c r="F22" s="102"/>
      <c r="G22" s="102"/>
      <c r="H22" s="102"/>
      <c r="I22" s="102"/>
      <c r="J22" s="276"/>
      <c r="K22" s="276"/>
      <c r="L22" s="276"/>
      <c r="M22" s="276"/>
      <c r="N22" s="84"/>
      <c r="O22" s="102"/>
      <c r="P22" s="102"/>
      <c r="Q22" s="102"/>
      <c r="R22" s="102"/>
      <c r="S22" s="102"/>
      <c r="T22" s="84"/>
      <c r="U22" s="84"/>
      <c r="V22" s="193"/>
      <c r="W22" s="85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47"/>
      <c r="AX22" s="103"/>
      <c r="AY22" s="51"/>
      <c r="AZ22" s="359"/>
      <c r="BB22" s="55"/>
    </row>
    <row r="23" spans="1:54" s="36" customFormat="1" ht="15.75" x14ac:dyDescent="0.25">
      <c r="A23" s="366" t="s">
        <v>116</v>
      </c>
      <c r="B23" s="367" t="s">
        <v>117</v>
      </c>
      <c r="C23" s="321" t="s">
        <v>387</v>
      </c>
      <c r="D23" s="321" t="s">
        <v>402</v>
      </c>
      <c r="E23" s="367" t="s">
        <v>624</v>
      </c>
      <c r="F23" s="321" t="s">
        <v>237</v>
      </c>
      <c r="G23" s="321"/>
      <c r="H23" s="321"/>
      <c r="I23" s="321"/>
      <c r="J23" s="332">
        <v>44317</v>
      </c>
      <c r="K23" s="332"/>
      <c r="L23" s="332">
        <v>44378</v>
      </c>
      <c r="M23" s="332"/>
      <c r="N23" s="343">
        <f>L23-J23</f>
        <v>61</v>
      </c>
      <c r="O23" s="321" t="s">
        <v>370</v>
      </c>
      <c r="P23" s="332">
        <v>44075</v>
      </c>
      <c r="Q23" s="332">
        <v>44286</v>
      </c>
      <c r="R23" s="332"/>
      <c r="S23" s="322">
        <f>((Q23-P23)/7)/4.3</f>
        <v>7.0099667774086383</v>
      </c>
      <c r="T23" s="322" t="s">
        <v>237</v>
      </c>
      <c r="U23" s="322"/>
      <c r="V23" s="323">
        <v>940687</v>
      </c>
      <c r="W23" s="115">
        <v>720455</v>
      </c>
      <c r="X23" s="115">
        <v>114649</v>
      </c>
      <c r="Y23" s="115">
        <v>0</v>
      </c>
      <c r="Z23" s="115">
        <v>105583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>
        <v>0</v>
      </c>
      <c r="AW23" s="47"/>
      <c r="AX23" s="53">
        <f>SUM(W23:AW23)</f>
        <v>940687</v>
      </c>
      <c r="AY23" s="51"/>
      <c r="AZ23" s="359">
        <f>AX23-V23</f>
        <v>0</v>
      </c>
      <c r="BB23" s="55"/>
    </row>
    <row r="24" spans="1:54" s="36" customFormat="1" ht="15.75" x14ac:dyDescent="0.25">
      <c r="A24" s="366" t="s">
        <v>121</v>
      </c>
      <c r="B24" s="367" t="s">
        <v>122</v>
      </c>
      <c r="C24" s="321" t="s">
        <v>387</v>
      </c>
      <c r="D24" s="321" t="s">
        <v>402</v>
      </c>
      <c r="E24" s="367" t="s">
        <v>123</v>
      </c>
      <c r="F24" s="321" t="s">
        <v>237</v>
      </c>
      <c r="G24" s="321"/>
      <c r="H24" s="321"/>
      <c r="I24" s="321"/>
      <c r="J24" s="332">
        <v>44317</v>
      </c>
      <c r="K24" s="332"/>
      <c r="L24" s="332">
        <v>44378</v>
      </c>
      <c r="M24" s="332"/>
      <c r="N24" s="343">
        <f>L24-J24</f>
        <v>61</v>
      </c>
      <c r="O24" s="321" t="s">
        <v>370</v>
      </c>
      <c r="P24" s="332">
        <v>44136</v>
      </c>
      <c r="Q24" s="332">
        <v>44286</v>
      </c>
      <c r="R24" s="332"/>
      <c r="S24" s="322">
        <f>((Q24-P24)/7)/4.3</f>
        <v>4.9833887043189371</v>
      </c>
      <c r="T24" s="322" t="s">
        <v>237</v>
      </c>
      <c r="U24" s="322"/>
      <c r="V24" s="323">
        <v>226188</v>
      </c>
      <c r="W24" s="115">
        <v>64622</v>
      </c>
      <c r="X24" s="115">
        <v>39562</v>
      </c>
      <c r="Y24" s="115">
        <v>18328</v>
      </c>
      <c r="Z24" s="115">
        <v>101052</v>
      </c>
      <c r="AA24" s="115">
        <v>2624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>
        <v>0</v>
      </c>
      <c r="AW24" s="47"/>
      <c r="AX24" s="53">
        <f>SUM(W24:AW24)</f>
        <v>226188</v>
      </c>
      <c r="AY24" s="51"/>
      <c r="AZ24" s="359">
        <f>AX24-V24</f>
        <v>0</v>
      </c>
      <c r="BB24" s="55"/>
    </row>
    <row r="25" spans="1:54" s="36" customFormat="1" ht="15.75" x14ac:dyDescent="0.25">
      <c r="A25" s="334" t="s">
        <v>124</v>
      </c>
      <c r="B25" s="335" t="s">
        <v>125</v>
      </c>
      <c r="C25" s="321" t="s">
        <v>387</v>
      </c>
      <c r="D25" s="321" t="s">
        <v>402</v>
      </c>
      <c r="E25" s="335" t="s">
        <v>126</v>
      </c>
      <c r="F25" s="321" t="s">
        <v>237</v>
      </c>
      <c r="G25" s="321"/>
      <c r="H25" s="321"/>
      <c r="I25" s="321"/>
      <c r="J25" s="332">
        <v>44317</v>
      </c>
      <c r="K25" s="332"/>
      <c r="L25" s="332">
        <v>44378</v>
      </c>
      <c r="M25" s="332"/>
      <c r="N25" s="343">
        <f>L25-J25</f>
        <v>61</v>
      </c>
      <c r="O25" s="321" t="s">
        <v>370</v>
      </c>
      <c r="P25" s="332">
        <v>44136</v>
      </c>
      <c r="Q25" s="332">
        <v>44286</v>
      </c>
      <c r="R25" s="332"/>
      <c r="S25" s="322">
        <f>((Q25-P25)/7)/4.3</f>
        <v>4.9833887043189371</v>
      </c>
      <c r="T25" s="322" t="s">
        <v>237</v>
      </c>
      <c r="U25" s="322"/>
      <c r="V25" s="323">
        <v>315962</v>
      </c>
      <c r="W25" s="115">
        <v>124791</v>
      </c>
      <c r="X25" s="115">
        <v>64927</v>
      </c>
      <c r="Y25" s="115">
        <v>25844</v>
      </c>
      <c r="Z25" s="115">
        <v>98461</v>
      </c>
      <c r="AA25" s="115">
        <v>1939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>
        <v>0</v>
      </c>
      <c r="AW25" s="47"/>
      <c r="AX25" s="53">
        <f>SUM(W25:AW25)</f>
        <v>315962</v>
      </c>
      <c r="AY25" s="51"/>
      <c r="AZ25" s="359">
        <f>AX25-V25</f>
        <v>0</v>
      </c>
      <c r="BB25" s="55"/>
    </row>
    <row r="26" spans="1:54" s="36" customFormat="1" ht="15.75" x14ac:dyDescent="0.25">
      <c r="A26" s="385"/>
      <c r="B26" s="392"/>
      <c r="C26" s="91"/>
      <c r="D26" s="91"/>
      <c r="E26" s="392"/>
      <c r="F26" s="91"/>
      <c r="G26" s="91"/>
      <c r="H26" s="91"/>
      <c r="I26" s="91"/>
      <c r="J26" s="91"/>
      <c r="K26" s="91"/>
      <c r="L26" s="91"/>
      <c r="M26" s="91"/>
      <c r="N26" s="92"/>
      <c r="O26" s="91"/>
      <c r="P26" s="91"/>
      <c r="Q26" s="91"/>
      <c r="R26" s="91"/>
      <c r="S26" s="92"/>
      <c r="T26" s="92"/>
      <c r="U26" s="92"/>
      <c r="V26" s="59">
        <f t="shared" ref="V26:AV26" si="5">SUM(V23:V25)</f>
        <v>1482837</v>
      </c>
      <c r="W26" s="59">
        <f t="shared" si="5"/>
        <v>909868</v>
      </c>
      <c r="X26" s="59">
        <f t="shared" si="5"/>
        <v>219138</v>
      </c>
      <c r="Y26" s="59">
        <f t="shared" si="5"/>
        <v>44172</v>
      </c>
      <c r="Z26" s="59">
        <f t="shared" si="5"/>
        <v>305096</v>
      </c>
      <c r="AA26" s="59">
        <f t="shared" si="5"/>
        <v>4563</v>
      </c>
      <c r="AB26" s="59">
        <f t="shared" si="5"/>
        <v>0</v>
      </c>
      <c r="AC26" s="59">
        <f t="shared" si="5"/>
        <v>0</v>
      </c>
      <c r="AD26" s="59">
        <f t="shared" si="5"/>
        <v>0</v>
      </c>
      <c r="AE26" s="59">
        <f t="shared" si="5"/>
        <v>0</v>
      </c>
      <c r="AF26" s="59">
        <f t="shared" si="5"/>
        <v>0</v>
      </c>
      <c r="AG26" s="59">
        <f t="shared" si="5"/>
        <v>0</v>
      </c>
      <c r="AH26" s="59">
        <f t="shared" si="5"/>
        <v>0</v>
      </c>
      <c r="AI26" s="59">
        <f t="shared" si="5"/>
        <v>0</v>
      </c>
      <c r="AJ26" s="59">
        <f t="shared" si="5"/>
        <v>0</v>
      </c>
      <c r="AK26" s="59">
        <f t="shared" si="5"/>
        <v>0</v>
      </c>
      <c r="AL26" s="59">
        <f t="shared" si="5"/>
        <v>0</v>
      </c>
      <c r="AM26" s="59">
        <f t="shared" si="5"/>
        <v>0</v>
      </c>
      <c r="AN26" s="59">
        <f t="shared" si="5"/>
        <v>0</v>
      </c>
      <c r="AO26" s="59">
        <f t="shared" si="5"/>
        <v>0</v>
      </c>
      <c r="AP26" s="59">
        <f t="shared" si="5"/>
        <v>0</v>
      </c>
      <c r="AQ26" s="59">
        <f t="shared" si="5"/>
        <v>0</v>
      </c>
      <c r="AR26" s="59">
        <f t="shared" si="5"/>
        <v>0</v>
      </c>
      <c r="AS26" s="59">
        <f t="shared" si="5"/>
        <v>0</v>
      </c>
      <c r="AT26" s="59">
        <f t="shared" si="5"/>
        <v>0</v>
      </c>
      <c r="AU26" s="59">
        <f t="shared" si="5"/>
        <v>0</v>
      </c>
      <c r="AV26" s="59">
        <f t="shared" si="5"/>
        <v>0</v>
      </c>
      <c r="AW26" s="47"/>
      <c r="AX26" s="53">
        <f>SUM(W26:AW26)</f>
        <v>1482837</v>
      </c>
      <c r="AY26" s="51"/>
      <c r="AZ26" s="359">
        <f>AX26-V26</f>
        <v>0</v>
      </c>
    </row>
    <row r="27" spans="1:54" s="36" customFormat="1" ht="15.75" x14ac:dyDescent="0.25">
      <c r="A27" s="381" t="s">
        <v>379</v>
      </c>
      <c r="B27" s="106"/>
      <c r="C27" s="102" t="s">
        <v>380</v>
      </c>
      <c r="D27" s="102"/>
      <c r="E27" s="106"/>
      <c r="F27" s="102"/>
      <c r="G27" s="102"/>
      <c r="H27" s="102"/>
      <c r="I27" s="102"/>
      <c r="J27" s="276"/>
      <c r="K27" s="276"/>
      <c r="L27" s="276"/>
      <c r="M27" s="276"/>
      <c r="N27" s="84"/>
      <c r="O27" s="102"/>
      <c r="P27" s="102"/>
      <c r="Q27" s="102"/>
      <c r="R27" s="102"/>
      <c r="S27" s="102"/>
      <c r="T27" s="102"/>
      <c r="U27" s="102"/>
      <c r="V27" s="102"/>
      <c r="W27" s="85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47"/>
      <c r="AX27" s="103"/>
      <c r="AY27" s="51"/>
      <c r="AZ27" s="359"/>
      <c r="BB27" s="55"/>
    </row>
    <row r="28" spans="1:54" s="36" customFormat="1" ht="15.75" x14ac:dyDescent="0.25">
      <c r="A28" s="363" t="s">
        <v>546</v>
      </c>
      <c r="B28" s="364" t="s">
        <v>610</v>
      </c>
      <c r="C28" s="321" t="s">
        <v>380</v>
      </c>
      <c r="D28" s="321" t="s">
        <v>575</v>
      </c>
      <c r="E28" s="364" t="s">
        <v>682</v>
      </c>
      <c r="F28" s="321" t="s">
        <v>237</v>
      </c>
      <c r="G28" s="321"/>
      <c r="H28" s="321"/>
      <c r="I28" s="321"/>
      <c r="J28" s="332" t="s">
        <v>24</v>
      </c>
      <c r="K28" s="332"/>
      <c r="L28" s="332" t="s">
        <v>24</v>
      </c>
      <c r="M28" s="332"/>
      <c r="N28" s="343" t="s">
        <v>24</v>
      </c>
      <c r="O28" s="332" t="s">
        <v>24</v>
      </c>
      <c r="P28" s="332">
        <v>44330</v>
      </c>
      <c r="Q28" s="332">
        <v>44391</v>
      </c>
      <c r="R28" s="321"/>
      <c r="S28" s="322">
        <f t="shared" ref="S28:S35" si="6">((Q28-P28)/7)/4.3</f>
        <v>2.0265780730897007</v>
      </c>
      <c r="T28" s="322"/>
      <c r="U28" s="322"/>
      <c r="V28" s="323">
        <v>46806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46806</v>
      </c>
      <c r="AF28" s="115">
        <v>0</v>
      </c>
      <c r="AG28" s="115">
        <v>0</v>
      </c>
      <c r="AH28" s="115">
        <v>0</v>
      </c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47"/>
      <c r="AX28" s="53">
        <f t="shared" ref="AX28:AX38" si="7">SUM(W28:AW28)</f>
        <v>46806</v>
      </c>
      <c r="AY28" s="51"/>
      <c r="AZ28" s="359">
        <f t="shared" ref="AZ28:AZ38" si="8">AX28-V28</f>
        <v>0</v>
      </c>
      <c r="BB28" s="55"/>
    </row>
    <row r="29" spans="1:54" s="36" customFormat="1" ht="15.75" x14ac:dyDescent="0.25">
      <c r="A29" s="34" t="s">
        <v>495</v>
      </c>
      <c r="B29" s="35" t="s">
        <v>712</v>
      </c>
      <c r="C29" s="52" t="s">
        <v>380</v>
      </c>
      <c r="D29" s="52" t="s">
        <v>575</v>
      </c>
      <c r="E29" s="34" t="s">
        <v>264</v>
      </c>
      <c r="F29" s="52" t="s">
        <v>46</v>
      </c>
      <c r="G29" s="52"/>
      <c r="H29" s="52"/>
      <c r="I29" s="52"/>
      <c r="J29" s="330">
        <v>44348</v>
      </c>
      <c r="K29" s="330"/>
      <c r="L29" s="330">
        <v>44362</v>
      </c>
      <c r="M29" s="330"/>
      <c r="N29" s="333">
        <f t="shared" ref="N29:N35" si="9">L29-J29</f>
        <v>14</v>
      </c>
      <c r="O29" s="52" t="s">
        <v>370</v>
      </c>
      <c r="P29" s="330">
        <v>44344</v>
      </c>
      <c r="Q29" s="52">
        <v>44497</v>
      </c>
      <c r="R29" s="52"/>
      <c r="S29" s="50">
        <f t="shared" si="6"/>
        <v>5.0830564784053163</v>
      </c>
      <c r="T29" s="50"/>
      <c r="U29" s="50"/>
      <c r="V29" s="182">
        <v>89125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58100</v>
      </c>
      <c r="AF29" s="115">
        <v>0</v>
      </c>
      <c r="AG29" s="115">
        <v>0</v>
      </c>
      <c r="AH29" s="115">
        <v>0</v>
      </c>
      <c r="AI29" s="58"/>
      <c r="AJ29" s="275">
        <v>31025</v>
      </c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3"/>
      <c r="AW29" s="47"/>
      <c r="AX29" s="53">
        <f t="shared" si="7"/>
        <v>89125</v>
      </c>
      <c r="AY29" s="51"/>
      <c r="AZ29" s="359">
        <f t="shared" si="8"/>
        <v>0</v>
      </c>
    </row>
    <row r="30" spans="1:54" s="36" customFormat="1" ht="15.75" x14ac:dyDescent="0.25">
      <c r="A30" s="320" t="s">
        <v>551</v>
      </c>
      <c r="B30" s="403" t="s">
        <v>713</v>
      </c>
      <c r="C30" s="402" t="s">
        <v>380</v>
      </c>
      <c r="D30" s="321" t="s">
        <v>575</v>
      </c>
      <c r="E30" s="403" t="s">
        <v>625</v>
      </c>
      <c r="F30" s="321" t="s">
        <v>237</v>
      </c>
      <c r="G30" s="321"/>
      <c r="H30" s="321"/>
      <c r="I30" s="321"/>
      <c r="J30" s="332">
        <v>44348</v>
      </c>
      <c r="K30" s="332"/>
      <c r="L30" s="332">
        <v>44362</v>
      </c>
      <c r="M30" s="332"/>
      <c r="N30" s="343">
        <f t="shared" si="9"/>
        <v>14</v>
      </c>
      <c r="O30" s="321" t="s">
        <v>370</v>
      </c>
      <c r="P30" s="332">
        <v>44353</v>
      </c>
      <c r="Q30" s="332">
        <v>44442</v>
      </c>
      <c r="R30" s="321"/>
      <c r="S30" s="322">
        <f t="shared" si="6"/>
        <v>2.9568106312292359</v>
      </c>
      <c r="T30" s="322"/>
      <c r="U30" s="322"/>
      <c r="V30" s="323">
        <v>75650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75650</v>
      </c>
      <c r="AF30" s="115">
        <v>0</v>
      </c>
      <c r="AG30" s="115">
        <v>0</v>
      </c>
      <c r="AH30" s="115">
        <v>0</v>
      </c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3"/>
      <c r="AW30" s="47"/>
      <c r="AX30" s="53">
        <f t="shared" si="7"/>
        <v>75650</v>
      </c>
      <c r="AY30" s="51"/>
      <c r="AZ30" s="359">
        <f t="shared" si="8"/>
        <v>0</v>
      </c>
    </row>
    <row r="31" spans="1:54" s="36" customFormat="1" ht="15.75" x14ac:dyDescent="0.25">
      <c r="A31" s="62" t="s">
        <v>65</v>
      </c>
      <c r="B31" s="180" t="s">
        <v>531</v>
      </c>
      <c r="C31" s="52" t="s">
        <v>380</v>
      </c>
      <c r="D31" s="52" t="s">
        <v>575</v>
      </c>
      <c r="E31" s="63" t="s">
        <v>67</v>
      </c>
      <c r="F31" s="52" t="s">
        <v>46</v>
      </c>
      <c r="G31" s="52"/>
      <c r="H31" s="52"/>
      <c r="I31" s="52"/>
      <c r="J31" s="329">
        <v>43929</v>
      </c>
      <c r="K31" s="329"/>
      <c r="L31" s="329">
        <v>44004</v>
      </c>
      <c r="M31" s="329"/>
      <c r="N31" s="333">
        <f t="shared" si="9"/>
        <v>75</v>
      </c>
      <c r="O31" s="52" t="s">
        <v>370</v>
      </c>
      <c r="P31" s="330">
        <v>44004</v>
      </c>
      <c r="Q31" s="347">
        <v>44469</v>
      </c>
      <c r="R31" s="87"/>
      <c r="S31" s="50">
        <f t="shared" si="6"/>
        <v>15.448504983388705</v>
      </c>
      <c r="T31" s="50"/>
      <c r="U31" s="50"/>
      <c r="V31" s="182">
        <f>2471535+10495</f>
        <v>2482030</v>
      </c>
      <c r="W31" s="115">
        <v>1788494</v>
      </c>
      <c r="X31" s="115">
        <v>93223</v>
      </c>
      <c r="Y31" s="115">
        <v>-90886</v>
      </c>
      <c r="Z31" s="115">
        <v>247214</v>
      </c>
      <c r="AA31" s="115">
        <f>164452+38564</f>
        <v>203016</v>
      </c>
      <c r="AB31" s="115">
        <v>0</v>
      </c>
      <c r="AC31" s="115">
        <v>88152</v>
      </c>
      <c r="AD31" s="115">
        <f>20348+132469</f>
        <v>152817</v>
      </c>
      <c r="AE31" s="115">
        <v>0</v>
      </c>
      <c r="AF31" s="115">
        <v>0</v>
      </c>
      <c r="AG31" s="115">
        <v>0</v>
      </c>
      <c r="AH31" s="115">
        <v>0</v>
      </c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47"/>
      <c r="AX31" s="53">
        <f t="shared" si="7"/>
        <v>2482030</v>
      </c>
      <c r="AY31" s="51"/>
      <c r="AZ31" s="359">
        <f t="shared" si="8"/>
        <v>0</v>
      </c>
    </row>
    <row r="32" spans="1:54" s="36" customFormat="1" ht="15.75" x14ac:dyDescent="0.25">
      <c r="A32" s="62" t="s">
        <v>383</v>
      </c>
      <c r="B32" s="63" t="s">
        <v>384</v>
      </c>
      <c r="C32" s="52" t="s">
        <v>380</v>
      </c>
      <c r="D32" s="52" t="s">
        <v>575</v>
      </c>
      <c r="E32" s="398" t="s">
        <v>89</v>
      </c>
      <c r="F32" s="52" t="s">
        <v>46</v>
      </c>
      <c r="G32" s="52"/>
      <c r="H32" s="52"/>
      <c r="I32" s="52"/>
      <c r="J32" s="329">
        <v>44071</v>
      </c>
      <c r="K32" s="329"/>
      <c r="L32" s="329">
        <v>44260</v>
      </c>
      <c r="M32" s="329"/>
      <c r="N32" s="333">
        <f t="shared" si="9"/>
        <v>189</v>
      </c>
      <c r="O32" s="52" t="s">
        <v>370</v>
      </c>
      <c r="P32" s="329">
        <v>44290</v>
      </c>
      <c r="Q32" s="87">
        <v>44484</v>
      </c>
      <c r="R32" s="87"/>
      <c r="S32" s="50">
        <f t="shared" si="6"/>
        <v>6.4451827242524926</v>
      </c>
      <c r="T32" s="50"/>
      <c r="U32" s="50"/>
      <c r="V32" s="182">
        <v>683158</v>
      </c>
      <c r="W32" s="115">
        <v>65749</v>
      </c>
      <c r="X32" s="115">
        <v>0</v>
      </c>
      <c r="Y32" s="115">
        <v>0</v>
      </c>
      <c r="Z32" s="115">
        <v>72518</v>
      </c>
      <c r="AA32" s="115">
        <v>31182</v>
      </c>
      <c r="AB32" s="115">
        <v>36101</v>
      </c>
      <c r="AC32" s="115">
        <v>79510</v>
      </c>
      <c r="AD32" s="115">
        <f>53107+111611</f>
        <v>164718</v>
      </c>
      <c r="AE32" s="115">
        <v>104045</v>
      </c>
      <c r="AF32" s="115">
        <v>68162.760000000009</v>
      </c>
      <c r="AG32" s="115">
        <v>61172.24</v>
      </c>
      <c r="AH32" s="115">
        <v>0</v>
      </c>
      <c r="AI32" s="53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3"/>
      <c r="AW32" s="47"/>
      <c r="AX32" s="53">
        <f t="shared" si="7"/>
        <v>683158</v>
      </c>
      <c r="AY32" s="51"/>
      <c r="AZ32" s="359">
        <f t="shared" si="8"/>
        <v>0</v>
      </c>
    </row>
    <row r="33" spans="1:54" s="36" customFormat="1" ht="15.75" x14ac:dyDescent="0.25">
      <c r="A33" s="34" t="s">
        <v>92</v>
      </c>
      <c r="B33" s="34" t="s">
        <v>543</v>
      </c>
      <c r="C33" s="52" t="s">
        <v>380</v>
      </c>
      <c r="D33" s="52" t="s">
        <v>575</v>
      </c>
      <c r="E33" s="63" t="s">
        <v>94</v>
      </c>
      <c r="F33" s="52" t="s">
        <v>46</v>
      </c>
      <c r="G33" s="52"/>
      <c r="H33" s="52"/>
      <c r="I33" s="52"/>
      <c r="J33" s="330">
        <v>44120</v>
      </c>
      <c r="K33" s="330"/>
      <c r="L33" s="330">
        <v>44246</v>
      </c>
      <c r="M33" s="330"/>
      <c r="N33" s="333">
        <f t="shared" si="9"/>
        <v>126</v>
      </c>
      <c r="O33" s="52" t="s">
        <v>370</v>
      </c>
      <c r="P33" s="329">
        <v>44256</v>
      </c>
      <c r="Q33" s="87">
        <v>44557</v>
      </c>
      <c r="R33" s="87"/>
      <c r="S33" s="50">
        <f t="shared" si="6"/>
        <v>10</v>
      </c>
      <c r="T33" s="50"/>
      <c r="U33" s="50"/>
      <c r="V33" s="182">
        <v>1436404</v>
      </c>
      <c r="W33" s="115">
        <v>91138</v>
      </c>
      <c r="X33" s="115">
        <v>0</v>
      </c>
      <c r="Y33" s="115">
        <v>0</v>
      </c>
      <c r="Z33" s="115">
        <v>0</v>
      </c>
      <c r="AA33" s="115">
        <v>55754</v>
      </c>
      <c r="AB33" s="115">
        <f>82399+102660</f>
        <v>185059</v>
      </c>
      <c r="AC33" s="115">
        <v>486176</v>
      </c>
      <c r="AD33" s="115">
        <v>117904</v>
      </c>
      <c r="AE33" s="115">
        <v>116211</v>
      </c>
      <c r="AF33" s="115">
        <v>178250.15</v>
      </c>
      <c r="AG33" s="115">
        <v>0</v>
      </c>
      <c r="AH33" s="115">
        <v>161504.44</v>
      </c>
      <c r="AI33" s="275">
        <v>100001.85</v>
      </c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3"/>
      <c r="AW33" s="47"/>
      <c r="AX33" s="53">
        <f t="shared" si="7"/>
        <v>1491998.44</v>
      </c>
      <c r="AY33" s="51"/>
      <c r="AZ33" s="359">
        <f t="shared" si="8"/>
        <v>55594.439999999944</v>
      </c>
    </row>
    <row r="34" spans="1:54" s="36" customFormat="1" ht="15.75" x14ac:dyDescent="0.25">
      <c r="A34" s="34" t="s">
        <v>96</v>
      </c>
      <c r="B34" s="34" t="s">
        <v>97</v>
      </c>
      <c r="C34" s="394" t="s">
        <v>380</v>
      </c>
      <c r="D34" s="52" t="s">
        <v>575</v>
      </c>
      <c r="E34" s="390" t="s">
        <v>98</v>
      </c>
      <c r="F34" s="52" t="s">
        <v>46</v>
      </c>
      <c r="G34" s="52"/>
      <c r="H34" s="52"/>
      <c r="I34" s="52"/>
      <c r="J34" s="330">
        <v>44168</v>
      </c>
      <c r="K34" s="330"/>
      <c r="L34" s="330">
        <v>44280</v>
      </c>
      <c r="M34" s="330"/>
      <c r="N34" s="333">
        <f t="shared" si="9"/>
        <v>112</v>
      </c>
      <c r="O34" s="52" t="s">
        <v>370</v>
      </c>
      <c r="P34" s="329">
        <v>44284</v>
      </c>
      <c r="Q34" s="87">
        <v>44524.800000000003</v>
      </c>
      <c r="R34" s="87"/>
      <c r="S34" s="50">
        <f t="shared" si="6"/>
        <v>8.0000000000000977</v>
      </c>
      <c r="T34" s="50"/>
      <c r="U34" s="50"/>
      <c r="V34" s="182">
        <v>648253</v>
      </c>
      <c r="W34" s="115">
        <v>124344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82390</v>
      </c>
      <c r="AD34" s="115">
        <v>0</v>
      </c>
      <c r="AE34" s="115">
        <v>125825</v>
      </c>
      <c r="AF34" s="115">
        <v>199275.86</v>
      </c>
      <c r="AG34" s="115">
        <v>49841.62</v>
      </c>
      <c r="AH34" s="115">
        <v>43397.49</v>
      </c>
      <c r="AI34" s="58"/>
      <c r="AJ34" s="53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3"/>
      <c r="AW34" s="47"/>
      <c r="AX34" s="53">
        <f t="shared" si="7"/>
        <v>625073.97</v>
      </c>
      <c r="AY34" s="51"/>
      <c r="AZ34" s="359">
        <f t="shared" si="8"/>
        <v>-23179.030000000028</v>
      </c>
    </row>
    <row r="35" spans="1:54" s="36" customFormat="1" ht="15.75" x14ac:dyDescent="0.25">
      <c r="A35" s="34" t="s">
        <v>99</v>
      </c>
      <c r="B35" s="34" t="s">
        <v>100</v>
      </c>
      <c r="C35" s="52" t="s">
        <v>380</v>
      </c>
      <c r="D35" s="52" t="s">
        <v>575</v>
      </c>
      <c r="E35" s="61" t="s">
        <v>101</v>
      </c>
      <c r="F35" s="52" t="s">
        <v>46</v>
      </c>
      <c r="G35" s="52"/>
      <c r="H35" s="52"/>
      <c r="I35" s="52"/>
      <c r="J35" s="330">
        <v>44168</v>
      </c>
      <c r="K35" s="330"/>
      <c r="L35" s="330">
        <v>44280</v>
      </c>
      <c r="M35" s="330"/>
      <c r="N35" s="333">
        <f t="shared" si="9"/>
        <v>112</v>
      </c>
      <c r="O35" s="52" t="s">
        <v>370</v>
      </c>
      <c r="P35" s="329">
        <v>44284</v>
      </c>
      <c r="Q35" s="87">
        <v>44524</v>
      </c>
      <c r="R35" s="87"/>
      <c r="S35" s="50">
        <f t="shared" si="6"/>
        <v>7.9734219269102988</v>
      </c>
      <c r="T35" s="50"/>
      <c r="U35" s="50"/>
      <c r="V35" s="182">
        <v>400187</v>
      </c>
      <c r="W35" s="115">
        <v>14681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50940</v>
      </c>
      <c r="AD35" s="115">
        <v>0</v>
      </c>
      <c r="AE35" s="115">
        <v>231205</v>
      </c>
      <c r="AF35" s="115">
        <v>53980.66</v>
      </c>
      <c r="AG35" s="115">
        <v>26603.7</v>
      </c>
      <c r="AH35" s="115">
        <v>22776.28</v>
      </c>
      <c r="AI35" s="58"/>
      <c r="AJ35" s="53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3"/>
      <c r="AW35" s="47"/>
      <c r="AX35" s="53">
        <f t="shared" si="7"/>
        <v>400186.64</v>
      </c>
      <c r="AY35" s="51"/>
      <c r="AZ35" s="359">
        <f t="shared" si="8"/>
        <v>-0.35999999998603016</v>
      </c>
      <c r="BB35" s="55"/>
    </row>
    <row r="36" spans="1:54" s="36" customFormat="1" ht="15.75" x14ac:dyDescent="0.25">
      <c r="A36" s="111" t="s">
        <v>102</v>
      </c>
      <c r="B36" s="112" t="s">
        <v>385</v>
      </c>
      <c r="C36" s="52" t="s">
        <v>380</v>
      </c>
      <c r="D36" s="52" t="s">
        <v>575</v>
      </c>
      <c r="E36" s="112" t="s">
        <v>626</v>
      </c>
      <c r="F36" s="52" t="s">
        <v>46</v>
      </c>
      <c r="G36" s="52"/>
      <c r="H36" s="52"/>
      <c r="I36" s="52"/>
      <c r="J36" s="330" t="s">
        <v>24</v>
      </c>
      <c r="K36" s="330"/>
      <c r="L36" s="330" t="s">
        <v>24</v>
      </c>
      <c r="M36" s="330"/>
      <c r="N36" s="333" t="s">
        <v>24</v>
      </c>
      <c r="O36" s="333" t="s">
        <v>24</v>
      </c>
      <c r="P36" s="333" t="s">
        <v>24</v>
      </c>
      <c r="Q36" s="333" t="s">
        <v>24</v>
      </c>
      <c r="R36" s="333" t="s">
        <v>24</v>
      </c>
      <c r="S36" s="333" t="s">
        <v>24</v>
      </c>
      <c r="T36" s="333" t="s">
        <v>24</v>
      </c>
      <c r="U36" s="333" t="s">
        <v>24</v>
      </c>
      <c r="V36" s="86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47"/>
      <c r="AX36" s="53">
        <f t="shared" si="7"/>
        <v>0</v>
      </c>
      <c r="AY36" s="51"/>
      <c r="AZ36" s="359">
        <f t="shared" si="8"/>
        <v>0</v>
      </c>
      <c r="BB36" s="55"/>
    </row>
    <row r="37" spans="1:54" s="36" customFormat="1" ht="15.75" x14ac:dyDescent="0.25">
      <c r="A37" s="374" t="s">
        <v>107</v>
      </c>
      <c r="B37" s="375" t="s">
        <v>108</v>
      </c>
      <c r="C37" s="52" t="s">
        <v>380</v>
      </c>
      <c r="D37" s="52" t="s">
        <v>575</v>
      </c>
      <c r="E37" s="114" t="s">
        <v>109</v>
      </c>
      <c r="F37" s="52" t="s">
        <v>46</v>
      </c>
      <c r="G37" s="52" t="s">
        <v>370</v>
      </c>
      <c r="H37" s="52" t="s">
        <v>370</v>
      </c>
      <c r="I37" s="52"/>
      <c r="J37" s="330">
        <v>44417</v>
      </c>
      <c r="K37" s="330"/>
      <c r="L37" s="330">
        <v>44418</v>
      </c>
      <c r="M37" s="330"/>
      <c r="N37" s="333">
        <f>L37-J37</f>
        <v>1</v>
      </c>
      <c r="O37" s="52" t="s">
        <v>370</v>
      </c>
      <c r="P37" s="377">
        <v>44470</v>
      </c>
      <c r="Q37" s="52">
        <v>44596</v>
      </c>
      <c r="R37" s="52"/>
      <c r="S37" s="50">
        <f>((Q37-P37)/7)/4.3</f>
        <v>4.1860465116279073</v>
      </c>
      <c r="T37" s="50"/>
      <c r="U37" s="50"/>
      <c r="V37" s="247">
        <v>355011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230079.99</v>
      </c>
      <c r="AI37" s="275">
        <v>85000</v>
      </c>
      <c r="AJ37" s="275">
        <v>85000</v>
      </c>
      <c r="AK37" s="275">
        <v>85000</v>
      </c>
      <c r="AL37" s="275">
        <v>15011</v>
      </c>
      <c r="AM37" s="58"/>
      <c r="AN37" s="58"/>
      <c r="AO37" s="58"/>
      <c r="AP37" s="58"/>
      <c r="AQ37" s="58"/>
      <c r="AR37" s="58"/>
      <c r="AS37" s="58"/>
      <c r="AT37" s="58"/>
      <c r="AU37" s="58"/>
      <c r="AV37" s="53"/>
      <c r="AW37" s="47"/>
      <c r="AX37" s="53">
        <f t="shared" si="7"/>
        <v>500090.99</v>
      </c>
      <c r="AY37" s="51"/>
      <c r="AZ37" s="359">
        <f t="shared" si="8"/>
        <v>145079.99</v>
      </c>
    </row>
    <row r="38" spans="1:54" s="36" customFormat="1" ht="15.75" x14ac:dyDescent="0.25">
      <c r="A38" s="93"/>
      <c r="B38" s="94"/>
      <c r="C38" s="91"/>
      <c r="D38" s="91"/>
      <c r="E38" s="94"/>
      <c r="F38" s="91"/>
      <c r="G38" s="91"/>
      <c r="H38" s="91"/>
      <c r="I38" s="91"/>
      <c r="J38" s="91"/>
      <c r="K38" s="91"/>
      <c r="L38" s="91"/>
      <c r="M38" s="91"/>
      <c r="N38" s="92"/>
      <c r="O38" s="91"/>
      <c r="P38" s="91"/>
      <c r="Q38" s="91"/>
      <c r="R38" s="91"/>
      <c r="S38" s="92"/>
      <c r="T38" s="92"/>
      <c r="U38" s="92"/>
      <c r="V38" s="59">
        <f t="shared" ref="V38:AV38" si="10">SUM(V28:V37)</f>
        <v>6216624</v>
      </c>
      <c r="W38" s="59">
        <f t="shared" si="10"/>
        <v>2084406</v>
      </c>
      <c r="X38" s="59">
        <f t="shared" si="10"/>
        <v>93223</v>
      </c>
      <c r="Y38" s="59">
        <f t="shared" si="10"/>
        <v>-90886</v>
      </c>
      <c r="Z38" s="59">
        <f t="shared" si="10"/>
        <v>319732</v>
      </c>
      <c r="AA38" s="59">
        <f t="shared" si="10"/>
        <v>289952</v>
      </c>
      <c r="AB38" s="59">
        <f t="shared" si="10"/>
        <v>221160</v>
      </c>
      <c r="AC38" s="59">
        <f t="shared" si="10"/>
        <v>787168</v>
      </c>
      <c r="AD38" s="59">
        <f t="shared" si="10"/>
        <v>435439</v>
      </c>
      <c r="AE38" s="59">
        <f t="shared" si="10"/>
        <v>757842</v>
      </c>
      <c r="AF38" s="59">
        <f t="shared" si="10"/>
        <v>499669.43000000005</v>
      </c>
      <c r="AG38" s="59">
        <f t="shared" si="10"/>
        <v>137617.56</v>
      </c>
      <c r="AH38" s="59">
        <f>SUM(AH28:AH37)</f>
        <v>457758.19999999995</v>
      </c>
      <c r="AI38" s="59">
        <f t="shared" si="10"/>
        <v>185001.85</v>
      </c>
      <c r="AJ38" s="59">
        <f t="shared" si="10"/>
        <v>116025</v>
      </c>
      <c r="AK38" s="59">
        <f t="shared" si="10"/>
        <v>85000</v>
      </c>
      <c r="AL38" s="59">
        <f t="shared" si="10"/>
        <v>15011</v>
      </c>
      <c r="AM38" s="59">
        <f t="shared" si="10"/>
        <v>0</v>
      </c>
      <c r="AN38" s="59">
        <f t="shared" si="10"/>
        <v>0</v>
      </c>
      <c r="AO38" s="59">
        <f t="shared" si="10"/>
        <v>0</v>
      </c>
      <c r="AP38" s="59">
        <f t="shared" si="10"/>
        <v>0</v>
      </c>
      <c r="AQ38" s="59">
        <f t="shared" si="10"/>
        <v>0</v>
      </c>
      <c r="AR38" s="59">
        <f t="shared" si="10"/>
        <v>0</v>
      </c>
      <c r="AS38" s="59">
        <f t="shared" si="10"/>
        <v>0</v>
      </c>
      <c r="AT38" s="59">
        <f t="shared" si="10"/>
        <v>0</v>
      </c>
      <c r="AU38" s="59">
        <f t="shared" si="10"/>
        <v>0</v>
      </c>
      <c r="AV38" s="59">
        <f t="shared" si="10"/>
        <v>0</v>
      </c>
      <c r="AW38" s="47"/>
      <c r="AX38" s="53">
        <f t="shared" si="7"/>
        <v>6394119.0399999991</v>
      </c>
      <c r="AY38" s="51"/>
      <c r="AZ38" s="359">
        <f t="shared" si="8"/>
        <v>177495.03999999911</v>
      </c>
      <c r="BB38" s="55"/>
    </row>
    <row r="39" spans="1:54" s="36" customFormat="1" ht="15.75" x14ac:dyDescent="0.25">
      <c r="A39" s="106" t="s">
        <v>536</v>
      </c>
      <c r="B39" s="107"/>
      <c r="C39" s="101" t="s">
        <v>567</v>
      </c>
      <c r="D39" s="102"/>
      <c r="E39" s="107"/>
      <c r="F39" s="102"/>
      <c r="G39" s="102"/>
      <c r="H39" s="102"/>
      <c r="I39" s="102"/>
      <c r="J39" s="276"/>
      <c r="K39" s="276"/>
      <c r="L39" s="276"/>
      <c r="M39" s="276"/>
      <c r="N39" s="84"/>
      <c r="O39" s="102"/>
      <c r="P39" s="102"/>
      <c r="Q39" s="102"/>
      <c r="R39" s="102"/>
      <c r="S39" s="84"/>
      <c r="T39" s="84"/>
      <c r="U39" s="84"/>
      <c r="V39" s="193"/>
      <c r="W39" s="85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47"/>
      <c r="AX39" s="85"/>
      <c r="AY39" s="51"/>
      <c r="AZ39" s="359"/>
      <c r="BB39" s="55"/>
    </row>
    <row r="40" spans="1:54" s="36" customFormat="1" ht="15.75" x14ac:dyDescent="0.25">
      <c r="A40" s="319" t="s">
        <v>434</v>
      </c>
      <c r="B40" s="320" t="s">
        <v>537</v>
      </c>
      <c r="C40" s="321" t="s">
        <v>567</v>
      </c>
      <c r="D40" s="321" t="s">
        <v>567</v>
      </c>
      <c r="E40" s="320"/>
      <c r="F40" s="321" t="s">
        <v>237</v>
      </c>
      <c r="G40" s="321"/>
      <c r="H40" s="321"/>
      <c r="I40" s="321"/>
      <c r="J40" s="332" t="s">
        <v>24</v>
      </c>
      <c r="K40" s="332"/>
      <c r="L40" s="332" t="s">
        <v>24</v>
      </c>
      <c r="M40" s="332"/>
      <c r="N40" s="343" t="s">
        <v>24</v>
      </c>
      <c r="O40" s="343" t="s">
        <v>24</v>
      </c>
      <c r="P40" s="332" t="s">
        <v>24</v>
      </c>
      <c r="Q40" s="332" t="s">
        <v>24</v>
      </c>
      <c r="R40" s="332" t="s">
        <v>24</v>
      </c>
      <c r="S40" s="332" t="s">
        <v>24</v>
      </c>
      <c r="T40" s="332" t="s">
        <v>24</v>
      </c>
      <c r="U40" s="321"/>
      <c r="V40" s="365">
        <f>353138+108818</f>
        <v>461956</v>
      </c>
      <c r="W40" s="115">
        <v>0</v>
      </c>
      <c r="X40" s="115">
        <v>353138</v>
      </c>
      <c r="Y40" s="115">
        <v>108818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115">
        <v>0</v>
      </c>
      <c r="AH40" s="115">
        <v>0</v>
      </c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47"/>
      <c r="AX40" s="53">
        <f>SUM(W40:AW40)</f>
        <v>461956</v>
      </c>
      <c r="AY40" s="51"/>
      <c r="AZ40" s="359">
        <f t="shared" ref="AZ40:AZ71" si="11">AX40-V40</f>
        <v>0</v>
      </c>
      <c r="BB40" s="55"/>
    </row>
    <row r="41" spans="1:54" s="36" customFormat="1" ht="15.75" x14ac:dyDescent="0.25">
      <c r="A41" s="179" t="s">
        <v>197</v>
      </c>
      <c r="B41" s="180" t="s">
        <v>198</v>
      </c>
      <c r="C41" s="52" t="s">
        <v>567</v>
      </c>
      <c r="D41" s="52" t="s">
        <v>567</v>
      </c>
      <c r="E41" s="180" t="s">
        <v>683</v>
      </c>
      <c r="F41" s="52" t="s">
        <v>46</v>
      </c>
      <c r="G41" s="52"/>
      <c r="H41" s="52"/>
      <c r="I41" s="52"/>
      <c r="J41" s="330" t="s">
        <v>24</v>
      </c>
      <c r="K41" s="330"/>
      <c r="L41" s="330" t="s">
        <v>24</v>
      </c>
      <c r="M41" s="330"/>
      <c r="N41" s="333" t="s">
        <v>24</v>
      </c>
      <c r="O41" s="52" t="s">
        <v>370</v>
      </c>
      <c r="P41" s="330">
        <v>44195</v>
      </c>
      <c r="Q41" s="52">
        <v>44469</v>
      </c>
      <c r="R41" s="52"/>
      <c r="S41" s="50">
        <f>((Q41-P41)/7)/4.3</f>
        <v>9.1029900332225928</v>
      </c>
      <c r="T41" s="50"/>
      <c r="U41" s="50"/>
      <c r="V41" s="247">
        <v>500577</v>
      </c>
      <c r="W41" s="115">
        <v>0</v>
      </c>
      <c r="X41" s="115">
        <v>0</v>
      </c>
      <c r="Y41" s="115">
        <v>17615</v>
      </c>
      <c r="Z41" s="115">
        <v>71648</v>
      </c>
      <c r="AA41" s="115">
        <v>0</v>
      </c>
      <c r="AB41" s="115">
        <v>97695</v>
      </c>
      <c r="AC41" s="115">
        <v>103125</v>
      </c>
      <c r="AD41" s="115">
        <v>92500</v>
      </c>
      <c r="AE41" s="115">
        <v>117994</v>
      </c>
      <c r="AF41" s="115">
        <v>0</v>
      </c>
      <c r="AG41" s="115">
        <v>0</v>
      </c>
      <c r="AH41" s="115">
        <v>0</v>
      </c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47"/>
      <c r="AX41" s="53">
        <f>SUM(W41:AW41)</f>
        <v>500577</v>
      </c>
      <c r="AY41" s="51"/>
      <c r="AZ41" s="359">
        <f t="shared" si="11"/>
        <v>0</v>
      </c>
      <c r="BB41" s="55"/>
    </row>
    <row r="42" spans="1:54" s="36" customFormat="1" ht="15.75" x14ac:dyDescent="0.25">
      <c r="A42" s="100"/>
      <c r="B42" s="388"/>
      <c r="C42" s="395"/>
      <c r="D42" s="91"/>
      <c r="E42" s="388"/>
      <c r="F42" s="91"/>
      <c r="G42" s="91"/>
      <c r="H42" s="91"/>
      <c r="I42" s="91"/>
      <c r="J42" s="91"/>
      <c r="K42" s="91"/>
      <c r="L42" s="91"/>
      <c r="M42" s="91"/>
      <c r="N42" s="92"/>
      <c r="O42" s="91"/>
      <c r="P42" s="91"/>
      <c r="Q42" s="91"/>
      <c r="R42" s="91"/>
      <c r="S42" s="92"/>
      <c r="T42" s="92"/>
      <c r="U42" s="92"/>
      <c r="V42" s="243">
        <f t="shared" ref="V42:AV42" si="12">SUM(V40:V41)</f>
        <v>962533</v>
      </c>
      <c r="W42" s="59">
        <f t="shared" si="12"/>
        <v>0</v>
      </c>
      <c r="X42" s="59">
        <f t="shared" si="12"/>
        <v>353138</v>
      </c>
      <c r="Y42" s="59">
        <f t="shared" si="12"/>
        <v>126433</v>
      </c>
      <c r="Z42" s="59">
        <f t="shared" si="12"/>
        <v>71648</v>
      </c>
      <c r="AA42" s="59">
        <f t="shared" si="12"/>
        <v>0</v>
      </c>
      <c r="AB42" s="59">
        <f t="shared" si="12"/>
        <v>97695</v>
      </c>
      <c r="AC42" s="59">
        <f t="shared" si="12"/>
        <v>103125</v>
      </c>
      <c r="AD42" s="59">
        <f t="shared" si="12"/>
        <v>92500</v>
      </c>
      <c r="AE42" s="59">
        <f t="shared" si="12"/>
        <v>117994</v>
      </c>
      <c r="AF42" s="59">
        <f t="shared" si="12"/>
        <v>0</v>
      </c>
      <c r="AG42" s="59">
        <f t="shared" si="12"/>
        <v>0</v>
      </c>
      <c r="AH42" s="59">
        <f t="shared" si="12"/>
        <v>0</v>
      </c>
      <c r="AI42" s="59">
        <f t="shared" si="12"/>
        <v>0</v>
      </c>
      <c r="AJ42" s="59">
        <f t="shared" si="12"/>
        <v>0</v>
      </c>
      <c r="AK42" s="59">
        <f t="shared" si="12"/>
        <v>0</v>
      </c>
      <c r="AL42" s="59">
        <f t="shared" si="12"/>
        <v>0</v>
      </c>
      <c r="AM42" s="59">
        <f t="shared" si="12"/>
        <v>0</v>
      </c>
      <c r="AN42" s="59">
        <f t="shared" si="12"/>
        <v>0</v>
      </c>
      <c r="AO42" s="59">
        <f t="shared" si="12"/>
        <v>0</v>
      </c>
      <c r="AP42" s="59">
        <f t="shared" si="12"/>
        <v>0</v>
      </c>
      <c r="AQ42" s="59">
        <f t="shared" si="12"/>
        <v>0</v>
      </c>
      <c r="AR42" s="59">
        <f t="shared" si="12"/>
        <v>0</v>
      </c>
      <c r="AS42" s="59">
        <f t="shared" si="12"/>
        <v>0</v>
      </c>
      <c r="AT42" s="59">
        <f t="shared" si="12"/>
        <v>0</v>
      </c>
      <c r="AU42" s="59">
        <f t="shared" si="12"/>
        <v>0</v>
      </c>
      <c r="AV42" s="59">
        <f t="shared" si="12"/>
        <v>0</v>
      </c>
      <c r="AW42" s="47"/>
      <c r="AX42" s="53">
        <f>SUM(W42:AW42)</f>
        <v>962533</v>
      </c>
      <c r="AY42" s="51"/>
      <c r="AZ42" s="359">
        <f t="shared" si="11"/>
        <v>0</v>
      </c>
    </row>
    <row r="43" spans="1:54" s="36" customFormat="1" ht="15.75" x14ac:dyDescent="0.25">
      <c r="A43" s="381" t="s">
        <v>569</v>
      </c>
      <c r="B43" s="106"/>
      <c r="C43" s="102" t="s">
        <v>562</v>
      </c>
      <c r="D43" s="102"/>
      <c r="E43" s="106"/>
      <c r="F43" s="102"/>
      <c r="G43" s="102"/>
      <c r="H43" s="102"/>
      <c r="I43" s="102"/>
      <c r="J43" s="276"/>
      <c r="K43" s="276"/>
      <c r="L43" s="276"/>
      <c r="M43" s="276"/>
      <c r="N43" s="84"/>
      <c r="O43" s="102"/>
      <c r="P43" s="102"/>
      <c r="Q43" s="102"/>
      <c r="R43" s="102"/>
      <c r="S43" s="102"/>
      <c r="T43" s="102"/>
      <c r="U43" s="102"/>
      <c r="V43" s="102"/>
      <c r="W43" s="85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47"/>
      <c r="AX43" s="85"/>
      <c r="AY43" s="51"/>
      <c r="AZ43" s="359">
        <f t="shared" si="11"/>
        <v>0</v>
      </c>
    </row>
    <row r="44" spans="1:54" s="36" customFormat="1" ht="15.75" x14ac:dyDescent="0.25">
      <c r="A44" s="366" t="s">
        <v>127</v>
      </c>
      <c r="B44" s="367" t="s">
        <v>396</v>
      </c>
      <c r="C44" s="321" t="s">
        <v>562</v>
      </c>
      <c r="D44" s="321" t="s">
        <v>402</v>
      </c>
      <c r="E44" s="367" t="s">
        <v>447</v>
      </c>
      <c r="F44" s="321" t="s">
        <v>237</v>
      </c>
      <c r="G44" s="321"/>
      <c r="H44" s="321"/>
      <c r="I44" s="321"/>
      <c r="J44" s="332">
        <v>44253</v>
      </c>
      <c r="K44" s="332"/>
      <c r="L44" s="332">
        <v>44272</v>
      </c>
      <c r="M44" s="332"/>
      <c r="N44" s="343">
        <f>L44-J44</f>
        <v>19</v>
      </c>
      <c r="O44" s="321" t="s">
        <v>370</v>
      </c>
      <c r="P44" s="332">
        <v>44272</v>
      </c>
      <c r="Q44" s="332">
        <v>44435</v>
      </c>
      <c r="R44" s="332"/>
      <c r="S44" s="322">
        <f>((Q44-P44)/7)/4.3</f>
        <v>5.4152823920265778</v>
      </c>
      <c r="T44" s="322"/>
      <c r="U44" s="322"/>
      <c r="V44" s="323">
        <v>383545</v>
      </c>
      <c r="W44" s="115">
        <v>0</v>
      </c>
      <c r="X44" s="115">
        <v>0</v>
      </c>
      <c r="Y44" s="115">
        <v>0</v>
      </c>
      <c r="Z44" s="115">
        <v>0</v>
      </c>
      <c r="AA44" s="115">
        <f>84179+34753</f>
        <v>118932</v>
      </c>
      <c r="AB44" s="115">
        <f>93305+17005</f>
        <v>110310</v>
      </c>
      <c r="AC44" s="115">
        <v>66219</v>
      </c>
      <c r="AD44" s="115">
        <v>58693</v>
      </c>
      <c r="AE44" s="115">
        <v>29391</v>
      </c>
      <c r="AF44" s="115">
        <v>0</v>
      </c>
      <c r="AG44" s="115">
        <v>0</v>
      </c>
      <c r="AH44" s="115">
        <v>0</v>
      </c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47"/>
      <c r="AX44" s="53">
        <f>SUM(W44:AW44)</f>
        <v>383545</v>
      </c>
      <c r="AY44" s="51"/>
      <c r="AZ44" s="359">
        <f t="shared" si="11"/>
        <v>0</v>
      </c>
    </row>
    <row r="45" spans="1:54" s="36" customFormat="1" ht="15.75" x14ac:dyDescent="0.25">
      <c r="A45" s="383" t="s">
        <v>134</v>
      </c>
      <c r="B45" s="389" t="s">
        <v>135</v>
      </c>
      <c r="C45" s="52" t="s">
        <v>562</v>
      </c>
      <c r="D45" s="52" t="s">
        <v>566</v>
      </c>
      <c r="E45" s="389" t="s">
        <v>136</v>
      </c>
      <c r="F45" s="52" t="s">
        <v>46</v>
      </c>
      <c r="G45" s="52"/>
      <c r="H45" s="52"/>
      <c r="I45" s="52"/>
      <c r="J45" s="330">
        <v>44174</v>
      </c>
      <c r="K45" s="330"/>
      <c r="L45" s="330">
        <v>44223</v>
      </c>
      <c r="M45" s="330"/>
      <c r="N45" s="333">
        <f>L45-J45</f>
        <v>49</v>
      </c>
      <c r="O45" s="52" t="s">
        <v>370</v>
      </c>
      <c r="P45" s="330">
        <v>44382</v>
      </c>
      <c r="Q45" s="347">
        <v>44540</v>
      </c>
      <c r="R45" s="52"/>
      <c r="S45" s="50">
        <f>((Q45-P45)/7)/4.3</f>
        <v>5.249169435215947</v>
      </c>
      <c r="T45" s="50"/>
      <c r="U45" s="50"/>
      <c r="V45" s="245">
        <v>1006579</v>
      </c>
      <c r="W45" s="115">
        <v>131243</v>
      </c>
      <c r="X45" s="115">
        <v>0</v>
      </c>
      <c r="Y45" s="115">
        <v>0</v>
      </c>
      <c r="Z45" s="115">
        <v>0</v>
      </c>
      <c r="AA45" s="115"/>
      <c r="AB45" s="115">
        <f>36571+46439</f>
        <v>83010</v>
      </c>
      <c r="AC45" s="115">
        <v>67371</v>
      </c>
      <c r="AD45" s="115">
        <v>0</v>
      </c>
      <c r="AE45" s="115">
        <v>103268</v>
      </c>
      <c r="AF45" s="115">
        <v>113601.11</v>
      </c>
      <c r="AG45" s="115">
        <v>227523.97</v>
      </c>
      <c r="AH45" s="115">
        <v>173989.42</v>
      </c>
      <c r="AI45" s="275">
        <v>108874.92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47"/>
      <c r="AX45" s="53">
        <f>SUM(W45:AW45)</f>
        <v>1008881.42</v>
      </c>
      <c r="AY45" s="51"/>
      <c r="AZ45" s="359">
        <f t="shared" si="11"/>
        <v>2302.4200000000419</v>
      </c>
    </row>
    <row r="46" spans="1:54" s="36" customFormat="1" ht="15.75" x14ac:dyDescent="0.25">
      <c r="A46" s="34" t="s">
        <v>226</v>
      </c>
      <c r="B46" s="34" t="s">
        <v>442</v>
      </c>
      <c r="C46" s="394" t="s">
        <v>562</v>
      </c>
      <c r="D46" s="52" t="s">
        <v>565</v>
      </c>
      <c r="E46" s="390" t="s">
        <v>656</v>
      </c>
      <c r="F46" s="52" t="s">
        <v>46</v>
      </c>
      <c r="G46" s="52"/>
      <c r="H46" s="52"/>
      <c r="I46" s="52"/>
      <c r="J46" s="330">
        <v>44295</v>
      </c>
      <c r="K46" s="330"/>
      <c r="L46" s="330">
        <v>44357</v>
      </c>
      <c r="M46" s="330"/>
      <c r="N46" s="333">
        <f>L46-J46</f>
        <v>62</v>
      </c>
      <c r="O46" s="52" t="s">
        <v>370</v>
      </c>
      <c r="P46" s="330">
        <v>44387</v>
      </c>
      <c r="Q46" s="347">
        <v>44540</v>
      </c>
      <c r="R46" s="52"/>
      <c r="S46" s="50">
        <f>((Q46-P46)/7)/4.3</f>
        <v>5.0830564784053163</v>
      </c>
      <c r="T46" s="50"/>
      <c r="U46" s="50"/>
      <c r="V46" s="182">
        <v>2259828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105517</v>
      </c>
      <c r="AC46" s="115">
        <v>201248</v>
      </c>
      <c r="AD46" s="115">
        <v>0</v>
      </c>
      <c r="AE46" s="115">
        <v>748228</v>
      </c>
      <c r="AF46" s="115">
        <v>181824.92</v>
      </c>
      <c r="AG46" s="115">
        <v>308182.90999999997</v>
      </c>
      <c r="AH46" s="115">
        <v>347750.61</v>
      </c>
      <c r="AI46" s="275">
        <v>414827.17</v>
      </c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3"/>
      <c r="AW46" s="47"/>
      <c r="AX46" s="53">
        <f>SUM(W46:AW46)</f>
        <v>2307578.61</v>
      </c>
      <c r="AY46" s="51"/>
      <c r="AZ46" s="359">
        <f t="shared" si="11"/>
        <v>47750.60999999987</v>
      </c>
    </row>
    <row r="47" spans="1:54" s="36" customFormat="1" ht="15.75" x14ac:dyDescent="0.25">
      <c r="A47" s="384"/>
      <c r="B47" s="391"/>
      <c r="C47" s="91"/>
      <c r="D47" s="91"/>
      <c r="E47" s="391"/>
      <c r="F47" s="91"/>
      <c r="G47" s="91"/>
      <c r="H47" s="91"/>
      <c r="I47" s="91"/>
      <c r="J47" s="91"/>
      <c r="K47" s="91"/>
      <c r="L47" s="91"/>
      <c r="M47" s="91"/>
      <c r="N47" s="92"/>
      <c r="O47" s="91"/>
      <c r="P47" s="91"/>
      <c r="Q47" s="91"/>
      <c r="R47" s="91"/>
      <c r="S47" s="91"/>
      <c r="T47" s="92"/>
      <c r="U47" s="92"/>
      <c r="V47" s="59">
        <f t="shared" ref="V47:AV47" si="13">SUM(V44:V46)</f>
        <v>3649952</v>
      </c>
      <c r="W47" s="59">
        <f t="shared" si="13"/>
        <v>131243</v>
      </c>
      <c r="X47" s="59">
        <f t="shared" si="13"/>
        <v>0</v>
      </c>
      <c r="Y47" s="59">
        <f t="shared" si="13"/>
        <v>0</v>
      </c>
      <c r="Z47" s="59">
        <f t="shared" si="13"/>
        <v>0</v>
      </c>
      <c r="AA47" s="59">
        <f t="shared" si="13"/>
        <v>118932</v>
      </c>
      <c r="AB47" s="59">
        <f t="shared" si="13"/>
        <v>298837</v>
      </c>
      <c r="AC47" s="59">
        <f t="shared" si="13"/>
        <v>334838</v>
      </c>
      <c r="AD47" s="59">
        <f t="shared" si="13"/>
        <v>58693</v>
      </c>
      <c r="AE47" s="59">
        <f t="shared" si="13"/>
        <v>880887</v>
      </c>
      <c r="AF47" s="59">
        <f t="shared" si="13"/>
        <v>295426.03000000003</v>
      </c>
      <c r="AG47" s="59">
        <f t="shared" si="13"/>
        <v>535706.88</v>
      </c>
      <c r="AH47" s="59">
        <f>SUM(AH44:AH46)</f>
        <v>521740.03</v>
      </c>
      <c r="AI47" s="59">
        <f t="shared" si="13"/>
        <v>523702.08999999997</v>
      </c>
      <c r="AJ47" s="59">
        <f t="shared" si="13"/>
        <v>0</v>
      </c>
      <c r="AK47" s="59">
        <f t="shared" si="13"/>
        <v>0</v>
      </c>
      <c r="AL47" s="59">
        <f t="shared" si="13"/>
        <v>0</v>
      </c>
      <c r="AM47" s="59">
        <f t="shared" si="13"/>
        <v>0</v>
      </c>
      <c r="AN47" s="59">
        <f t="shared" si="13"/>
        <v>0</v>
      </c>
      <c r="AO47" s="59">
        <f t="shared" si="13"/>
        <v>0</v>
      </c>
      <c r="AP47" s="59">
        <f t="shared" si="13"/>
        <v>0</v>
      </c>
      <c r="AQ47" s="59">
        <f t="shared" si="13"/>
        <v>0</v>
      </c>
      <c r="AR47" s="59">
        <f t="shared" si="13"/>
        <v>0</v>
      </c>
      <c r="AS47" s="59">
        <f t="shared" si="13"/>
        <v>0</v>
      </c>
      <c r="AT47" s="59">
        <f t="shared" si="13"/>
        <v>0</v>
      </c>
      <c r="AU47" s="59">
        <f t="shared" si="13"/>
        <v>0</v>
      </c>
      <c r="AV47" s="59">
        <f t="shared" si="13"/>
        <v>0</v>
      </c>
      <c r="AW47" s="47"/>
      <c r="AX47" s="53">
        <f>SUM(W47:AW47)</f>
        <v>3700005.0300000003</v>
      </c>
      <c r="AY47" s="51"/>
      <c r="AZ47" s="359">
        <f t="shared" si="11"/>
        <v>50053.030000000261</v>
      </c>
      <c r="BB47" s="55"/>
    </row>
    <row r="48" spans="1:54" s="36" customFormat="1" ht="15.75" x14ac:dyDescent="0.25">
      <c r="A48" s="381" t="s">
        <v>761</v>
      </c>
      <c r="B48" s="106"/>
      <c r="C48" s="102" t="s">
        <v>762</v>
      </c>
      <c r="D48" s="102"/>
      <c r="E48" s="106"/>
      <c r="F48" s="102"/>
      <c r="G48" s="102"/>
      <c r="H48" s="102"/>
      <c r="I48" s="102"/>
      <c r="J48" s="276"/>
      <c r="K48" s="276"/>
      <c r="L48" s="276"/>
      <c r="M48" s="276"/>
      <c r="N48" s="84"/>
      <c r="O48" s="102"/>
      <c r="P48" s="102"/>
      <c r="Q48" s="102"/>
      <c r="R48" s="102"/>
      <c r="S48" s="102"/>
      <c r="T48" s="102"/>
      <c r="U48" s="102"/>
      <c r="V48" s="102"/>
      <c r="W48" s="85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47"/>
      <c r="AX48" s="85"/>
      <c r="AY48" s="51"/>
      <c r="AZ48" s="359">
        <f t="shared" si="11"/>
        <v>0</v>
      </c>
      <c r="BB48" s="55"/>
    </row>
    <row r="49" spans="1:54" s="36" customFormat="1" ht="15.75" x14ac:dyDescent="0.25">
      <c r="A49" s="113" t="s">
        <v>203</v>
      </c>
      <c r="B49" s="114" t="s">
        <v>204</v>
      </c>
      <c r="C49" s="52" t="s">
        <v>762</v>
      </c>
      <c r="D49" s="52" t="s">
        <v>630</v>
      </c>
      <c r="E49" s="35" t="s">
        <v>684</v>
      </c>
      <c r="F49" s="52" t="s">
        <v>46</v>
      </c>
      <c r="G49" s="52"/>
      <c r="H49" s="52" t="s">
        <v>320</v>
      </c>
      <c r="I49" s="52"/>
      <c r="J49" s="330">
        <v>44369</v>
      </c>
      <c r="K49" s="330"/>
      <c r="L49" s="329">
        <v>44461</v>
      </c>
      <c r="M49" s="329"/>
      <c r="N49" s="333">
        <f>L49-J49</f>
        <v>92</v>
      </c>
      <c r="O49" s="52" t="s">
        <v>370</v>
      </c>
      <c r="P49" s="329">
        <v>44399</v>
      </c>
      <c r="Q49" s="52">
        <v>44803</v>
      </c>
      <c r="R49" s="52"/>
      <c r="S49" s="50">
        <f>((Q49-P49)/7)/4.3</f>
        <v>13.421926910299003</v>
      </c>
      <c r="T49" s="50"/>
      <c r="U49" s="50"/>
      <c r="V49" s="182">
        <v>12114221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941343</v>
      </c>
      <c r="AF49" s="115">
        <v>403549.63</v>
      </c>
      <c r="AG49" s="115">
        <v>37623.360000000001</v>
      </c>
      <c r="AH49" s="115">
        <v>1053416.4099999999</v>
      </c>
      <c r="AI49" s="275">
        <v>772000</v>
      </c>
      <c r="AJ49" s="275">
        <v>1000000</v>
      </c>
      <c r="AK49" s="275">
        <v>1000000</v>
      </c>
      <c r="AL49" s="275">
        <v>1000000</v>
      </c>
      <c r="AM49" s="275">
        <v>1000000</v>
      </c>
      <c r="AN49" s="275">
        <v>1000000</v>
      </c>
      <c r="AO49" s="275">
        <v>1000000</v>
      </c>
      <c r="AP49" s="275">
        <v>1000000</v>
      </c>
      <c r="AQ49" s="275">
        <v>1000000</v>
      </c>
      <c r="AR49" s="275">
        <v>1000000</v>
      </c>
      <c r="AS49" s="275">
        <v>437705.01</v>
      </c>
      <c r="AT49" s="58"/>
      <c r="AU49" s="58"/>
      <c r="AV49" s="53"/>
      <c r="AW49" s="47"/>
      <c r="AX49" s="53">
        <f>SUM(W49:AW49)</f>
        <v>12645637.41</v>
      </c>
      <c r="AY49" s="51"/>
      <c r="AZ49" s="359">
        <f t="shared" si="11"/>
        <v>531416.41000000015</v>
      </c>
      <c r="BB49" s="55"/>
    </row>
    <row r="50" spans="1:54" s="36" customFormat="1" ht="15.75" x14ac:dyDescent="0.25">
      <c r="A50" s="384"/>
      <c r="B50" s="391"/>
      <c r="C50" s="91"/>
      <c r="D50" s="91"/>
      <c r="E50" s="391"/>
      <c r="F50" s="91"/>
      <c r="G50" s="91"/>
      <c r="H50" s="91"/>
      <c r="I50" s="91"/>
      <c r="J50" s="91"/>
      <c r="K50" s="91"/>
      <c r="L50" s="91"/>
      <c r="M50" s="91"/>
      <c r="N50" s="92"/>
      <c r="O50" s="91"/>
      <c r="P50" s="91"/>
      <c r="Q50" s="91"/>
      <c r="R50" s="91"/>
      <c r="S50" s="91"/>
      <c r="T50" s="92"/>
      <c r="U50" s="92"/>
      <c r="V50" s="59">
        <f t="shared" ref="V50:AV50" si="14">SUM(V49:V49)</f>
        <v>12114221</v>
      </c>
      <c r="W50" s="59">
        <f t="shared" si="14"/>
        <v>0</v>
      </c>
      <c r="X50" s="59">
        <f t="shared" si="14"/>
        <v>0</v>
      </c>
      <c r="Y50" s="59">
        <f t="shared" si="14"/>
        <v>0</v>
      </c>
      <c r="Z50" s="59">
        <f t="shared" si="14"/>
        <v>0</v>
      </c>
      <c r="AA50" s="59">
        <f t="shared" si="14"/>
        <v>0</v>
      </c>
      <c r="AB50" s="59">
        <f t="shared" si="14"/>
        <v>0</v>
      </c>
      <c r="AC50" s="59">
        <f t="shared" si="14"/>
        <v>0</v>
      </c>
      <c r="AD50" s="59">
        <f t="shared" si="14"/>
        <v>0</v>
      </c>
      <c r="AE50" s="59">
        <f t="shared" si="14"/>
        <v>941343</v>
      </c>
      <c r="AF50" s="59">
        <f t="shared" si="14"/>
        <v>403549.63</v>
      </c>
      <c r="AG50" s="59">
        <f t="shared" si="14"/>
        <v>37623.360000000001</v>
      </c>
      <c r="AH50" s="59">
        <f>SUM(AH49:AH49)</f>
        <v>1053416.4099999999</v>
      </c>
      <c r="AI50" s="59">
        <f t="shared" si="14"/>
        <v>772000</v>
      </c>
      <c r="AJ50" s="59">
        <f t="shared" si="14"/>
        <v>1000000</v>
      </c>
      <c r="AK50" s="59">
        <f t="shared" si="14"/>
        <v>1000000</v>
      </c>
      <c r="AL50" s="59">
        <f t="shared" si="14"/>
        <v>1000000</v>
      </c>
      <c r="AM50" s="59">
        <f t="shared" si="14"/>
        <v>1000000</v>
      </c>
      <c r="AN50" s="59">
        <f t="shared" si="14"/>
        <v>1000000</v>
      </c>
      <c r="AO50" s="59">
        <f t="shared" si="14"/>
        <v>1000000</v>
      </c>
      <c r="AP50" s="59">
        <f t="shared" si="14"/>
        <v>1000000</v>
      </c>
      <c r="AQ50" s="59">
        <f t="shared" si="14"/>
        <v>1000000</v>
      </c>
      <c r="AR50" s="59">
        <f t="shared" si="14"/>
        <v>1000000</v>
      </c>
      <c r="AS50" s="59">
        <f t="shared" si="14"/>
        <v>437705.01</v>
      </c>
      <c r="AT50" s="59">
        <f t="shared" si="14"/>
        <v>0</v>
      </c>
      <c r="AU50" s="59">
        <f t="shared" si="14"/>
        <v>0</v>
      </c>
      <c r="AV50" s="59">
        <f t="shared" si="14"/>
        <v>0</v>
      </c>
      <c r="AW50" s="47"/>
      <c r="AX50" s="53">
        <f>SUM(W50:AW50)</f>
        <v>12645637.41</v>
      </c>
      <c r="AY50" s="51"/>
      <c r="AZ50" s="359">
        <f t="shared" si="11"/>
        <v>531416.41000000015</v>
      </c>
      <c r="BB50" s="55"/>
    </row>
    <row r="51" spans="1:54" s="36" customFormat="1" ht="15.75" x14ac:dyDescent="0.25">
      <c r="A51" s="382" t="s">
        <v>234</v>
      </c>
      <c r="B51" s="387"/>
      <c r="C51" s="102" t="s">
        <v>570</v>
      </c>
      <c r="D51" s="102"/>
      <c r="E51" s="387"/>
      <c r="F51" s="102"/>
      <c r="G51" s="102"/>
      <c r="H51" s="102"/>
      <c r="I51" s="102"/>
      <c r="J51" s="276"/>
      <c r="K51" s="276"/>
      <c r="L51" s="276"/>
      <c r="M51" s="276"/>
      <c r="N51" s="84"/>
      <c r="O51" s="102"/>
      <c r="P51" s="102"/>
      <c r="Q51" s="102"/>
      <c r="R51" s="102"/>
      <c r="S51" s="102"/>
      <c r="T51" s="102"/>
      <c r="U51" s="102"/>
      <c r="V51" s="102"/>
      <c r="W51" s="85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47"/>
      <c r="AX51" s="85"/>
      <c r="AY51" s="51"/>
      <c r="AZ51" s="359">
        <f t="shared" si="11"/>
        <v>0</v>
      </c>
      <c r="BB51" s="55"/>
    </row>
    <row r="52" spans="1:54" s="36" customFormat="1" ht="15.75" x14ac:dyDescent="0.25">
      <c r="A52" s="319" t="s">
        <v>238</v>
      </c>
      <c r="B52" s="320" t="s">
        <v>239</v>
      </c>
      <c r="C52" s="321" t="s">
        <v>570</v>
      </c>
      <c r="D52" s="321"/>
      <c r="E52" s="319" t="s">
        <v>632</v>
      </c>
      <c r="F52" s="321" t="s">
        <v>237</v>
      </c>
      <c r="G52" s="321"/>
      <c r="H52" s="321"/>
      <c r="I52" s="321"/>
      <c r="J52" s="321"/>
      <c r="K52" s="321"/>
      <c r="L52" s="321"/>
      <c r="M52" s="321"/>
      <c r="N52" s="322">
        <f>L52-J52</f>
        <v>0</v>
      </c>
      <c r="O52" s="321" t="s">
        <v>370</v>
      </c>
      <c r="P52" s="332">
        <v>43836</v>
      </c>
      <c r="Q52" s="332">
        <v>44090</v>
      </c>
      <c r="R52" s="332"/>
      <c r="S52" s="322">
        <f>((Q52-P52)/7)/4.3</f>
        <v>8.4385382059800662</v>
      </c>
      <c r="T52" s="322" t="s">
        <v>237</v>
      </c>
      <c r="U52" s="322"/>
      <c r="V52" s="323">
        <f>1219262-1559</f>
        <v>1217703</v>
      </c>
      <c r="W52" s="115">
        <v>1206322</v>
      </c>
      <c r="X52" s="115">
        <v>11381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/>
      <c r="AG52" s="115">
        <v>0</v>
      </c>
      <c r="AH52" s="115">
        <v>0</v>
      </c>
      <c r="AI52" s="115">
        <v>0</v>
      </c>
      <c r="AJ52" s="115">
        <v>0</v>
      </c>
      <c r="AK52" s="115">
        <v>0</v>
      </c>
      <c r="AL52" s="115">
        <v>0</v>
      </c>
      <c r="AM52" s="115">
        <v>0</v>
      </c>
      <c r="AN52" s="115">
        <v>0</v>
      </c>
      <c r="AO52" s="115">
        <v>0</v>
      </c>
      <c r="AP52" s="115">
        <v>0</v>
      </c>
      <c r="AQ52" s="115">
        <v>0</v>
      </c>
      <c r="AR52" s="115">
        <v>0</v>
      </c>
      <c r="AS52" s="115">
        <v>0</v>
      </c>
      <c r="AT52" s="115">
        <v>0</v>
      </c>
      <c r="AU52" s="115">
        <v>0</v>
      </c>
      <c r="AV52" s="115">
        <v>0</v>
      </c>
      <c r="AW52" s="47"/>
      <c r="AX52" s="53">
        <f>SUM(W52:AW52)</f>
        <v>1217703</v>
      </c>
      <c r="AY52" s="51"/>
      <c r="AZ52" s="359">
        <f t="shared" si="11"/>
        <v>0</v>
      </c>
      <c r="BB52" s="55"/>
    </row>
    <row r="53" spans="1:54" s="36" customFormat="1" ht="15.75" x14ac:dyDescent="0.25">
      <c r="A53" s="363" t="s">
        <v>273</v>
      </c>
      <c r="B53" s="364" t="s">
        <v>274</v>
      </c>
      <c r="C53" s="321" t="s">
        <v>570</v>
      </c>
      <c r="D53" s="321"/>
      <c r="E53" s="364" t="s">
        <v>275</v>
      </c>
      <c r="F53" s="321" t="s">
        <v>237</v>
      </c>
      <c r="G53" s="321"/>
      <c r="H53" s="321"/>
      <c r="I53" s="321"/>
      <c r="J53" s="321"/>
      <c r="K53" s="321"/>
      <c r="L53" s="321"/>
      <c r="M53" s="321"/>
      <c r="N53" s="322">
        <f>L53-J53</f>
        <v>0</v>
      </c>
      <c r="O53" s="321" t="s">
        <v>370</v>
      </c>
      <c r="P53" s="332">
        <v>43889</v>
      </c>
      <c r="Q53" s="332">
        <v>44187</v>
      </c>
      <c r="R53" s="332"/>
      <c r="S53" s="322">
        <f>((Q53-P53)/7)/4.3</f>
        <v>9.9003322259136208</v>
      </c>
      <c r="T53" s="322" t="s">
        <v>237</v>
      </c>
      <c r="U53" s="322"/>
      <c r="V53" s="323">
        <f>577676+1200</f>
        <v>578876</v>
      </c>
      <c r="W53" s="115">
        <v>568341</v>
      </c>
      <c r="X53" s="115">
        <v>2335</v>
      </c>
      <c r="Y53" s="115">
        <v>0</v>
      </c>
      <c r="Z53" s="115">
        <v>0</v>
      </c>
      <c r="AA53" s="115">
        <v>0</v>
      </c>
      <c r="AB53" s="115">
        <v>8200</v>
      </c>
      <c r="AC53" s="115">
        <v>0</v>
      </c>
      <c r="AD53" s="115">
        <v>0</v>
      </c>
      <c r="AE53" s="115">
        <v>0</v>
      </c>
      <c r="AF53" s="115"/>
      <c r="AG53" s="115">
        <v>0</v>
      </c>
      <c r="AH53" s="115">
        <v>0</v>
      </c>
      <c r="AI53" s="115">
        <v>0</v>
      </c>
      <c r="AJ53" s="115">
        <v>0</v>
      </c>
      <c r="AK53" s="115">
        <v>0</v>
      </c>
      <c r="AL53" s="115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0</v>
      </c>
      <c r="AV53" s="115">
        <v>0</v>
      </c>
      <c r="AW53" s="47"/>
      <c r="AX53" s="53">
        <f>SUM(W53:AW53)</f>
        <v>578876</v>
      </c>
      <c r="AY53" s="51"/>
      <c r="AZ53" s="359">
        <f t="shared" si="11"/>
        <v>0</v>
      </c>
      <c r="BB53" s="55"/>
    </row>
    <row r="54" spans="1:54" s="36" customFormat="1" ht="15.75" x14ac:dyDescent="0.25">
      <c r="A54" s="100"/>
      <c r="B54" s="388"/>
      <c r="C54" s="395"/>
      <c r="D54" s="91"/>
      <c r="E54" s="388"/>
      <c r="F54" s="91"/>
      <c r="G54" s="91"/>
      <c r="H54" s="91"/>
      <c r="I54" s="91"/>
      <c r="J54" s="91"/>
      <c r="K54" s="91"/>
      <c r="L54" s="91"/>
      <c r="M54" s="91"/>
      <c r="N54" s="92"/>
      <c r="O54" s="91"/>
      <c r="P54" s="91"/>
      <c r="Q54" s="91"/>
      <c r="R54" s="91"/>
      <c r="S54" s="92"/>
      <c r="T54" s="92"/>
      <c r="U54" s="92"/>
      <c r="V54" s="59">
        <f t="shared" ref="V54:AV54" si="15">SUM(V52:V53)</f>
        <v>1796579</v>
      </c>
      <c r="W54" s="59">
        <f t="shared" si="15"/>
        <v>1774663</v>
      </c>
      <c r="X54" s="59">
        <f t="shared" si="15"/>
        <v>13716</v>
      </c>
      <c r="Y54" s="59">
        <f t="shared" si="15"/>
        <v>0</v>
      </c>
      <c r="Z54" s="59">
        <f t="shared" si="15"/>
        <v>0</v>
      </c>
      <c r="AA54" s="59">
        <f t="shared" si="15"/>
        <v>0</v>
      </c>
      <c r="AB54" s="59">
        <f t="shared" si="15"/>
        <v>8200</v>
      </c>
      <c r="AC54" s="59">
        <f t="shared" si="15"/>
        <v>0</v>
      </c>
      <c r="AD54" s="59">
        <f t="shared" si="15"/>
        <v>0</v>
      </c>
      <c r="AE54" s="59">
        <f t="shared" si="15"/>
        <v>0</v>
      </c>
      <c r="AF54" s="59">
        <f t="shared" si="15"/>
        <v>0</v>
      </c>
      <c r="AG54" s="59">
        <f t="shared" si="15"/>
        <v>0</v>
      </c>
      <c r="AH54" s="59">
        <f t="shared" si="15"/>
        <v>0</v>
      </c>
      <c r="AI54" s="59">
        <f t="shared" si="15"/>
        <v>0</v>
      </c>
      <c r="AJ54" s="59">
        <f t="shared" si="15"/>
        <v>0</v>
      </c>
      <c r="AK54" s="59">
        <f t="shared" si="15"/>
        <v>0</v>
      </c>
      <c r="AL54" s="59">
        <f t="shared" si="15"/>
        <v>0</v>
      </c>
      <c r="AM54" s="59">
        <f t="shared" si="15"/>
        <v>0</v>
      </c>
      <c r="AN54" s="59">
        <f t="shared" si="15"/>
        <v>0</v>
      </c>
      <c r="AO54" s="59">
        <f t="shared" si="15"/>
        <v>0</v>
      </c>
      <c r="AP54" s="59">
        <f t="shared" si="15"/>
        <v>0</v>
      </c>
      <c r="AQ54" s="59">
        <f t="shared" si="15"/>
        <v>0</v>
      </c>
      <c r="AR54" s="59">
        <f t="shared" si="15"/>
        <v>0</v>
      </c>
      <c r="AS54" s="59">
        <f t="shared" si="15"/>
        <v>0</v>
      </c>
      <c r="AT54" s="59">
        <f t="shared" si="15"/>
        <v>0</v>
      </c>
      <c r="AU54" s="59">
        <f t="shared" si="15"/>
        <v>0</v>
      </c>
      <c r="AV54" s="59">
        <f t="shared" si="15"/>
        <v>0</v>
      </c>
      <c r="AW54" s="47"/>
      <c r="AX54" s="53">
        <f>SUM(W54:AW54)</f>
        <v>1796579</v>
      </c>
      <c r="AY54" s="51"/>
      <c r="AZ54" s="359">
        <f t="shared" si="11"/>
        <v>0</v>
      </c>
    </row>
    <row r="55" spans="1:54" s="36" customFormat="1" ht="15.75" x14ac:dyDescent="0.25">
      <c r="A55" s="381" t="s">
        <v>52</v>
      </c>
      <c r="B55" s="106"/>
      <c r="C55" s="102" t="s">
        <v>373</v>
      </c>
      <c r="D55" s="102"/>
      <c r="E55" s="106"/>
      <c r="F55" s="102"/>
      <c r="G55" s="102"/>
      <c r="H55" s="102"/>
      <c r="I55" s="102"/>
      <c r="J55" s="276"/>
      <c r="K55" s="276"/>
      <c r="L55" s="276"/>
      <c r="M55" s="276"/>
      <c r="N55" s="84"/>
      <c r="O55" s="102"/>
      <c r="P55" s="102"/>
      <c r="Q55" s="102"/>
      <c r="R55" s="102"/>
      <c r="S55" s="102"/>
      <c r="T55" s="102"/>
      <c r="U55" s="102"/>
      <c r="V55" s="102"/>
      <c r="W55" s="85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47"/>
      <c r="AX55" s="85"/>
      <c r="AY55" s="51"/>
      <c r="AZ55" s="359">
        <f t="shared" si="11"/>
        <v>0</v>
      </c>
      <c r="BB55" s="55"/>
    </row>
    <row r="56" spans="1:54" s="36" customFormat="1" ht="15.75" x14ac:dyDescent="0.25">
      <c r="A56" s="325" t="s">
        <v>49</v>
      </c>
      <c r="B56" s="326" t="s">
        <v>374</v>
      </c>
      <c r="C56" s="310" t="s">
        <v>373</v>
      </c>
      <c r="D56" s="310" t="s">
        <v>630</v>
      </c>
      <c r="E56" s="326" t="s">
        <v>51</v>
      </c>
      <c r="F56" s="310" t="s">
        <v>237</v>
      </c>
      <c r="G56" s="310"/>
      <c r="H56" s="310"/>
      <c r="I56" s="310"/>
      <c r="J56" s="318">
        <v>43965</v>
      </c>
      <c r="K56" s="318"/>
      <c r="L56" s="318">
        <v>44020</v>
      </c>
      <c r="M56" s="318"/>
      <c r="N56" s="331">
        <f>L56-J56</f>
        <v>55</v>
      </c>
      <c r="O56" s="310" t="s">
        <v>370</v>
      </c>
      <c r="P56" s="318">
        <v>44033</v>
      </c>
      <c r="Q56" s="318">
        <v>44371</v>
      </c>
      <c r="R56" s="318"/>
      <c r="S56" s="311">
        <f t="shared" ref="S56:S62" si="16">((Q56-P56)/7)/4.3</f>
        <v>11.22923588039867</v>
      </c>
      <c r="T56" s="311"/>
      <c r="U56" s="311"/>
      <c r="V56" s="306">
        <v>9534114</v>
      </c>
      <c r="W56" s="115">
        <v>4251267</v>
      </c>
      <c r="X56" s="115">
        <v>974630</v>
      </c>
      <c r="Y56" s="115">
        <v>965506</v>
      </c>
      <c r="Z56" s="115">
        <v>726926</v>
      </c>
      <c r="AA56" s="115">
        <v>1007479</v>
      </c>
      <c r="AB56" s="115">
        <v>748387</v>
      </c>
      <c r="AC56" s="115">
        <v>599421</v>
      </c>
      <c r="AD56" s="115">
        <v>93601</v>
      </c>
      <c r="AE56" s="115">
        <v>88474</v>
      </c>
      <c r="AF56" s="115">
        <v>65327.47</v>
      </c>
      <c r="AG56" s="115">
        <v>13095.53</v>
      </c>
      <c r="AH56" s="115">
        <v>-1831.09</v>
      </c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47"/>
      <c r="AX56" s="53">
        <f t="shared" ref="AX56:AX63" si="17">SUM(W56:AW56)</f>
        <v>9532282.9100000001</v>
      </c>
      <c r="AY56" s="51"/>
      <c r="AZ56" s="359">
        <f t="shared" si="11"/>
        <v>-1831.089999999851</v>
      </c>
    </row>
    <row r="57" spans="1:54" s="36" customFormat="1" ht="15.75" x14ac:dyDescent="0.25">
      <c r="A57" s="312" t="s">
        <v>55</v>
      </c>
      <c r="B57" s="312" t="s">
        <v>376</v>
      </c>
      <c r="C57" s="310" t="s">
        <v>373</v>
      </c>
      <c r="D57" s="310" t="s">
        <v>401</v>
      </c>
      <c r="E57" s="312" t="s">
        <v>57</v>
      </c>
      <c r="F57" s="310" t="s">
        <v>237</v>
      </c>
      <c r="G57" s="310"/>
      <c r="H57" s="310"/>
      <c r="I57" s="310"/>
      <c r="J57" s="318">
        <v>43998</v>
      </c>
      <c r="K57" s="318"/>
      <c r="L57" s="318">
        <v>44005</v>
      </c>
      <c r="M57" s="318"/>
      <c r="N57" s="331">
        <f>L57-J57</f>
        <v>7</v>
      </c>
      <c r="O57" s="310" t="s">
        <v>370</v>
      </c>
      <c r="P57" s="318">
        <v>44124</v>
      </c>
      <c r="Q57" s="318">
        <v>44392</v>
      </c>
      <c r="R57" s="318"/>
      <c r="S57" s="311">
        <f t="shared" si="16"/>
        <v>8.9036544850498345</v>
      </c>
      <c r="T57" s="311"/>
      <c r="U57" s="311"/>
      <c r="V57" s="306">
        <v>1258636</v>
      </c>
      <c r="W57" s="115">
        <v>501155</v>
      </c>
      <c r="X57" s="115">
        <v>186495</v>
      </c>
      <c r="Y57" s="115">
        <v>202246</v>
      </c>
      <c r="Z57" s="115">
        <v>66602</v>
      </c>
      <c r="AA57" s="115">
        <v>48430</v>
      </c>
      <c r="AB57" s="115">
        <v>7649</v>
      </c>
      <c r="AC57" s="115">
        <v>118643</v>
      </c>
      <c r="AD57" s="115">
        <v>54525</v>
      </c>
      <c r="AE57" s="115">
        <v>32612</v>
      </c>
      <c r="AF57" s="115">
        <v>0</v>
      </c>
      <c r="AG57" s="115">
        <v>0</v>
      </c>
      <c r="AH57" s="115">
        <v>632.5</v>
      </c>
      <c r="AI57" s="53"/>
      <c r="AJ57" s="275">
        <v>40279</v>
      </c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3"/>
      <c r="AW57" s="47"/>
      <c r="AX57" s="53">
        <f t="shared" si="17"/>
        <v>1259268.5</v>
      </c>
      <c r="AY57" s="51"/>
      <c r="AZ57" s="359">
        <f t="shared" si="11"/>
        <v>632.5</v>
      </c>
    </row>
    <row r="58" spans="1:54" s="36" customFormat="1" ht="15.75" x14ac:dyDescent="0.25">
      <c r="A58" s="34" t="s">
        <v>185</v>
      </c>
      <c r="B58" s="34" t="s">
        <v>622</v>
      </c>
      <c r="C58" s="394" t="s">
        <v>373</v>
      </c>
      <c r="D58" s="87" t="s">
        <v>401</v>
      </c>
      <c r="E58" s="396" t="s">
        <v>696</v>
      </c>
      <c r="F58" s="52" t="s">
        <v>46</v>
      </c>
      <c r="G58" s="52"/>
      <c r="H58" s="52"/>
      <c r="I58" s="52"/>
      <c r="J58" s="330">
        <v>44328</v>
      </c>
      <c r="K58" s="330"/>
      <c r="L58" s="330">
        <v>44418</v>
      </c>
      <c r="M58" s="330"/>
      <c r="N58" s="333">
        <f>L58-J58</f>
        <v>90</v>
      </c>
      <c r="O58" s="52" t="s">
        <v>370</v>
      </c>
      <c r="P58" s="330">
        <v>44372</v>
      </c>
      <c r="Q58" s="87">
        <v>44733</v>
      </c>
      <c r="R58" s="52"/>
      <c r="S58" s="50">
        <f t="shared" si="16"/>
        <v>11.993355481727574</v>
      </c>
      <c r="T58" s="50"/>
      <c r="U58" s="50"/>
      <c r="V58" s="182">
        <v>2124651</v>
      </c>
      <c r="W58" s="115">
        <v>0</v>
      </c>
      <c r="X58" s="115">
        <v>0</v>
      </c>
      <c r="Y58" s="115"/>
      <c r="Z58" s="115"/>
      <c r="AA58" s="115">
        <f>233134</f>
        <v>233134</v>
      </c>
      <c r="AB58" s="115">
        <v>0</v>
      </c>
      <c r="AC58" s="115">
        <v>0</v>
      </c>
      <c r="AD58" s="115">
        <v>72994</v>
      </c>
      <c r="AE58" s="115">
        <v>144486</v>
      </c>
      <c r="AF58" s="115">
        <v>174326.34</v>
      </c>
      <c r="AG58" s="115">
        <v>157369.33000000002</v>
      </c>
      <c r="AH58" s="115">
        <v>0</v>
      </c>
      <c r="AI58" s="275">
        <v>175000</v>
      </c>
      <c r="AJ58" s="275">
        <v>200000</v>
      </c>
      <c r="AK58" s="275">
        <v>200000</v>
      </c>
      <c r="AL58" s="275">
        <v>200000</v>
      </c>
      <c r="AM58" s="275">
        <v>200000</v>
      </c>
      <c r="AN58" s="275">
        <v>150000</v>
      </c>
      <c r="AO58" s="275">
        <v>52341.33</v>
      </c>
      <c r="AP58" s="58"/>
      <c r="AQ58" s="58"/>
      <c r="AR58" s="58"/>
      <c r="AS58" s="58"/>
      <c r="AT58" s="58"/>
      <c r="AU58" s="58"/>
      <c r="AV58" s="53"/>
      <c r="AW58" s="47"/>
      <c r="AX58" s="53">
        <f t="shared" si="17"/>
        <v>1959651</v>
      </c>
      <c r="AY58" s="51"/>
      <c r="AZ58" s="359">
        <f t="shared" si="11"/>
        <v>-165000</v>
      </c>
    </row>
    <row r="59" spans="1:54" s="36" customFormat="1" ht="15.75" x14ac:dyDescent="0.25">
      <c r="A59" s="374" t="s">
        <v>593</v>
      </c>
      <c r="B59" s="375" t="s">
        <v>774</v>
      </c>
      <c r="C59" s="52" t="s">
        <v>373</v>
      </c>
      <c r="D59" s="52" t="s">
        <v>401</v>
      </c>
      <c r="E59" s="113" t="s">
        <v>695</v>
      </c>
      <c r="F59" s="52" t="s">
        <v>46</v>
      </c>
      <c r="G59" s="52" t="s">
        <v>370</v>
      </c>
      <c r="H59" s="87" t="s">
        <v>370</v>
      </c>
      <c r="I59" s="87"/>
      <c r="J59" s="329">
        <v>44489</v>
      </c>
      <c r="K59" s="329"/>
      <c r="L59" s="329">
        <v>44540</v>
      </c>
      <c r="M59" s="87"/>
      <c r="N59" s="50">
        <f>L59-J59</f>
        <v>51</v>
      </c>
      <c r="O59" s="52" t="s">
        <v>370</v>
      </c>
      <c r="P59" s="376">
        <v>44554</v>
      </c>
      <c r="Q59" s="52">
        <f>P59+(9*4.3*7)</f>
        <v>44824.9</v>
      </c>
      <c r="R59" s="52">
        <v>44713</v>
      </c>
      <c r="S59" s="50">
        <f t="shared" si="16"/>
        <v>9.0000000000000497</v>
      </c>
      <c r="T59" s="50"/>
      <c r="U59" s="50"/>
      <c r="V59" s="53">
        <v>1325000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275">
        <v>100000</v>
      </c>
      <c r="AJ59" s="275">
        <v>150000</v>
      </c>
      <c r="AK59" s="275">
        <v>200000</v>
      </c>
      <c r="AL59" s="275">
        <v>200000</v>
      </c>
      <c r="AM59" s="275">
        <v>225000</v>
      </c>
      <c r="AN59" s="275">
        <v>250000</v>
      </c>
      <c r="AO59" s="275">
        <v>200000</v>
      </c>
      <c r="AP59" s="58"/>
      <c r="AQ59" s="58"/>
      <c r="AR59" s="58"/>
      <c r="AS59" s="58"/>
      <c r="AT59" s="58"/>
      <c r="AU59" s="58"/>
      <c r="AV59" s="53"/>
      <c r="AW59" s="47"/>
      <c r="AX59" s="53">
        <f t="shared" si="17"/>
        <v>1325000</v>
      </c>
      <c r="AY59" s="51"/>
      <c r="AZ59" s="359">
        <f t="shared" si="11"/>
        <v>0</v>
      </c>
      <c r="BB59" s="55"/>
    </row>
    <row r="60" spans="1:54" s="36" customFormat="1" ht="15.75" x14ac:dyDescent="0.25">
      <c r="A60" s="113" t="s">
        <v>594</v>
      </c>
      <c r="B60" s="113" t="s">
        <v>595</v>
      </c>
      <c r="C60" s="52" t="s">
        <v>373</v>
      </c>
      <c r="D60" s="52" t="s">
        <v>45</v>
      </c>
      <c r="E60" s="34"/>
      <c r="F60" s="52" t="s">
        <v>46</v>
      </c>
      <c r="G60" s="52"/>
      <c r="H60" s="52"/>
      <c r="I60" s="52"/>
      <c r="J60" s="330" t="s">
        <v>24</v>
      </c>
      <c r="K60" s="330"/>
      <c r="L60" s="330" t="s">
        <v>24</v>
      </c>
      <c r="M60" s="330"/>
      <c r="N60" s="333" t="s">
        <v>24</v>
      </c>
      <c r="O60" s="52" t="s">
        <v>320</v>
      </c>
      <c r="P60" s="52"/>
      <c r="Q60" s="52"/>
      <c r="R60" s="52"/>
      <c r="S60" s="50">
        <f t="shared" si="16"/>
        <v>0</v>
      </c>
      <c r="T60" s="50"/>
      <c r="U60" s="50"/>
      <c r="V60" s="53">
        <v>82107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15">
        <v>0</v>
      </c>
      <c r="AI60" s="53"/>
      <c r="AJ60" s="275">
        <v>55000</v>
      </c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3"/>
      <c r="AW60" s="47"/>
      <c r="AX60" s="53">
        <f t="shared" si="17"/>
        <v>55000</v>
      </c>
      <c r="AY60" s="51"/>
      <c r="AZ60" s="359">
        <f t="shared" si="11"/>
        <v>-27107</v>
      </c>
      <c r="BB60" s="55"/>
    </row>
    <row r="61" spans="1:54" s="36" customFormat="1" ht="15.75" x14ac:dyDescent="0.25">
      <c r="A61" s="244" t="s">
        <v>129</v>
      </c>
      <c r="B61" s="244" t="s">
        <v>130</v>
      </c>
      <c r="C61" s="52" t="s">
        <v>373</v>
      </c>
      <c r="D61" s="52" t="s">
        <v>633</v>
      </c>
      <c r="E61" s="57" t="s">
        <v>131</v>
      </c>
      <c r="F61" s="52" t="s">
        <v>46</v>
      </c>
      <c r="G61" s="52"/>
      <c r="H61" s="52"/>
      <c r="I61" s="52"/>
      <c r="J61" s="330">
        <v>43962</v>
      </c>
      <c r="K61" s="330"/>
      <c r="L61" s="330">
        <v>44018</v>
      </c>
      <c r="M61" s="330"/>
      <c r="N61" s="333">
        <f>L61-J61</f>
        <v>56</v>
      </c>
      <c r="O61" s="52" t="s">
        <v>370</v>
      </c>
      <c r="P61" s="330">
        <v>44136</v>
      </c>
      <c r="Q61" s="347">
        <v>44531</v>
      </c>
      <c r="R61" s="52"/>
      <c r="S61" s="50">
        <f t="shared" si="16"/>
        <v>13.122923588039868</v>
      </c>
      <c r="T61" s="50"/>
      <c r="U61" s="50"/>
      <c r="V61" s="182">
        <v>1809504</v>
      </c>
      <c r="W61" s="115">
        <v>407476</v>
      </c>
      <c r="X61" s="115">
        <v>214131</v>
      </c>
      <c r="Y61" s="115">
        <v>74131</v>
      </c>
      <c r="Z61" s="115">
        <v>135778</v>
      </c>
      <c r="AA61" s="115">
        <v>437832</v>
      </c>
      <c r="AB61" s="115">
        <v>31174</v>
      </c>
      <c r="AC61" s="115">
        <v>82243</v>
      </c>
      <c r="AD61" s="115">
        <v>45087</v>
      </c>
      <c r="AE61" s="115">
        <v>149925</v>
      </c>
      <c r="AF61" s="115">
        <v>55587.040000000001</v>
      </c>
      <c r="AG61" s="115">
        <v>113628.69</v>
      </c>
      <c r="AH61" s="115">
        <v>49278.8</v>
      </c>
      <c r="AI61" s="275">
        <v>30784.27</v>
      </c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47"/>
      <c r="AX61" s="53">
        <f t="shared" si="17"/>
        <v>1827055.8</v>
      </c>
      <c r="AY61" s="51"/>
      <c r="AZ61" s="359">
        <f t="shared" si="11"/>
        <v>17551.800000000047</v>
      </c>
      <c r="BB61" s="55"/>
    </row>
    <row r="62" spans="1:54" s="36" customFormat="1" ht="15.75" x14ac:dyDescent="0.25">
      <c r="A62" s="104" t="s">
        <v>139</v>
      </c>
      <c r="B62" s="105" t="s">
        <v>140</v>
      </c>
      <c r="C62" s="52" t="s">
        <v>373</v>
      </c>
      <c r="D62" s="87" t="s">
        <v>564</v>
      </c>
      <c r="E62" s="65" t="s">
        <v>141</v>
      </c>
      <c r="F62" s="87" t="s">
        <v>46</v>
      </c>
      <c r="G62" s="87"/>
      <c r="H62" s="87"/>
      <c r="I62" s="87"/>
      <c r="J62" s="329">
        <v>44104</v>
      </c>
      <c r="K62" s="329"/>
      <c r="L62" s="329">
        <v>44194</v>
      </c>
      <c r="M62" s="329"/>
      <c r="N62" s="333">
        <f>L62-J62</f>
        <v>90</v>
      </c>
      <c r="O62" s="52" t="s">
        <v>370</v>
      </c>
      <c r="P62" s="330">
        <v>44224</v>
      </c>
      <c r="Q62" s="347">
        <v>44501</v>
      </c>
      <c r="R62" s="52"/>
      <c r="S62" s="50">
        <f t="shared" si="16"/>
        <v>9.2026578073089702</v>
      </c>
      <c r="T62" s="50"/>
      <c r="U62" s="50"/>
      <c r="V62" s="182">
        <v>1641198</v>
      </c>
      <c r="W62" s="115">
        <v>103605</v>
      </c>
      <c r="X62" s="115">
        <v>0</v>
      </c>
      <c r="Y62" s="115">
        <v>71204</v>
      </c>
      <c r="Z62" s="115">
        <v>158532</v>
      </c>
      <c r="AA62" s="115">
        <v>124183</v>
      </c>
      <c r="AB62" s="115">
        <f>236910+83209</f>
        <v>320119</v>
      </c>
      <c r="AC62" s="115">
        <v>192377</v>
      </c>
      <c r="AD62" s="115">
        <v>74223</v>
      </c>
      <c r="AE62" s="115">
        <v>357461</v>
      </c>
      <c r="AF62" s="115">
        <v>34466.449999999997</v>
      </c>
      <c r="AG62" s="115">
        <v>131256.06</v>
      </c>
      <c r="AH62" s="115">
        <v>72535.740000000005</v>
      </c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47"/>
      <c r="AX62" s="53">
        <f t="shared" si="17"/>
        <v>1639962.25</v>
      </c>
      <c r="AY62" s="51"/>
      <c r="AZ62" s="359">
        <f t="shared" si="11"/>
        <v>-1235.75</v>
      </c>
    </row>
    <row r="63" spans="1:54" s="36" customFormat="1" ht="15.75" x14ac:dyDescent="0.25">
      <c r="A63" s="384"/>
      <c r="B63" s="391"/>
      <c r="C63" s="91"/>
      <c r="D63" s="91"/>
      <c r="E63" s="391"/>
      <c r="F63" s="91"/>
      <c r="G63" s="91"/>
      <c r="H63" s="91"/>
      <c r="I63" s="91"/>
      <c r="J63" s="91"/>
      <c r="K63" s="91"/>
      <c r="L63" s="91"/>
      <c r="M63" s="91"/>
      <c r="N63" s="92"/>
      <c r="O63" s="91"/>
      <c r="P63" s="91"/>
      <c r="Q63" s="91"/>
      <c r="R63" s="91"/>
      <c r="S63" s="91"/>
      <c r="T63" s="92"/>
      <c r="U63" s="92"/>
      <c r="V63" s="243">
        <f t="shared" ref="V63:AV63" si="18">SUM(V56:V62)</f>
        <v>17775210</v>
      </c>
      <c r="W63" s="59">
        <f t="shared" si="18"/>
        <v>5263503</v>
      </c>
      <c r="X63" s="59">
        <f t="shared" si="18"/>
        <v>1375256</v>
      </c>
      <c r="Y63" s="59">
        <f t="shared" si="18"/>
        <v>1313087</v>
      </c>
      <c r="Z63" s="59">
        <f t="shared" si="18"/>
        <v>1087838</v>
      </c>
      <c r="AA63" s="59">
        <f t="shared" si="18"/>
        <v>1851058</v>
      </c>
      <c r="AB63" s="59">
        <f t="shared" si="18"/>
        <v>1107329</v>
      </c>
      <c r="AC63" s="59">
        <f t="shared" si="18"/>
        <v>992684</v>
      </c>
      <c r="AD63" s="59">
        <f t="shared" si="18"/>
        <v>340430</v>
      </c>
      <c r="AE63" s="59">
        <f t="shared" si="18"/>
        <v>772958</v>
      </c>
      <c r="AF63" s="59">
        <f t="shared" si="18"/>
        <v>329707.3</v>
      </c>
      <c r="AG63" s="59">
        <f t="shared" si="18"/>
        <v>415349.61000000004</v>
      </c>
      <c r="AH63" s="59">
        <f>SUM(AH56:AH62)</f>
        <v>120615.95000000001</v>
      </c>
      <c r="AI63" s="59">
        <f t="shared" si="18"/>
        <v>305784.27</v>
      </c>
      <c r="AJ63" s="59">
        <f t="shared" si="18"/>
        <v>445279</v>
      </c>
      <c r="AK63" s="59">
        <f t="shared" si="18"/>
        <v>400000</v>
      </c>
      <c r="AL63" s="59">
        <f t="shared" si="18"/>
        <v>400000</v>
      </c>
      <c r="AM63" s="59">
        <f t="shared" si="18"/>
        <v>425000</v>
      </c>
      <c r="AN63" s="59">
        <f t="shared" si="18"/>
        <v>400000</v>
      </c>
      <c r="AO63" s="59">
        <f t="shared" si="18"/>
        <v>252341.33000000002</v>
      </c>
      <c r="AP63" s="59">
        <f t="shared" si="18"/>
        <v>0</v>
      </c>
      <c r="AQ63" s="59">
        <f t="shared" si="18"/>
        <v>0</v>
      </c>
      <c r="AR63" s="59">
        <f t="shared" si="18"/>
        <v>0</v>
      </c>
      <c r="AS63" s="59">
        <f t="shared" si="18"/>
        <v>0</v>
      </c>
      <c r="AT63" s="59">
        <f t="shared" si="18"/>
        <v>0</v>
      </c>
      <c r="AU63" s="59">
        <f t="shared" si="18"/>
        <v>0</v>
      </c>
      <c r="AV63" s="59">
        <f t="shared" si="18"/>
        <v>0</v>
      </c>
      <c r="AW63" s="47"/>
      <c r="AX63" s="53">
        <f t="shared" si="17"/>
        <v>17598220.459999997</v>
      </c>
      <c r="AY63" s="51"/>
      <c r="AZ63" s="359">
        <f t="shared" si="11"/>
        <v>-176989.54000000283</v>
      </c>
    </row>
    <row r="64" spans="1:54" s="36" customFormat="1" ht="15.75" x14ac:dyDescent="0.25">
      <c r="A64" s="382" t="s">
        <v>571</v>
      </c>
      <c r="B64" s="387"/>
      <c r="C64" s="102" t="s">
        <v>563</v>
      </c>
      <c r="D64" s="102"/>
      <c r="E64" s="387"/>
      <c r="F64" s="102"/>
      <c r="G64" s="102"/>
      <c r="H64" s="102"/>
      <c r="I64" s="102"/>
      <c r="J64" s="276"/>
      <c r="K64" s="276"/>
      <c r="L64" s="276"/>
      <c r="M64" s="276"/>
      <c r="N64" s="84"/>
      <c r="O64" s="102"/>
      <c r="P64" s="102"/>
      <c r="Q64" s="102"/>
      <c r="R64" s="102"/>
      <c r="S64" s="102"/>
      <c r="T64" s="102"/>
      <c r="U64" s="102"/>
      <c r="V64" s="102"/>
      <c r="W64" s="85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47"/>
      <c r="AX64" s="85"/>
      <c r="AY64" s="51"/>
      <c r="AZ64" s="359">
        <f t="shared" si="11"/>
        <v>0</v>
      </c>
    </row>
    <row r="65" spans="1:54" s="36" customFormat="1" ht="15.75" x14ac:dyDescent="0.25">
      <c r="A65" s="34" t="s">
        <v>60</v>
      </c>
      <c r="B65" s="35" t="s">
        <v>377</v>
      </c>
      <c r="C65" s="52" t="s">
        <v>563</v>
      </c>
      <c r="D65" s="52" t="s">
        <v>631</v>
      </c>
      <c r="E65" s="61" t="s">
        <v>62</v>
      </c>
      <c r="F65" s="52" t="s">
        <v>46</v>
      </c>
      <c r="G65" s="52"/>
      <c r="H65" s="52"/>
      <c r="I65" s="52"/>
      <c r="J65" s="330">
        <v>44054</v>
      </c>
      <c r="K65" s="330"/>
      <c r="L65" s="330">
        <v>44147</v>
      </c>
      <c r="M65" s="330"/>
      <c r="N65" s="333">
        <f>L65-J65</f>
        <v>93</v>
      </c>
      <c r="O65" s="52" t="s">
        <v>370</v>
      </c>
      <c r="P65" s="329">
        <v>44119</v>
      </c>
      <c r="Q65" s="87">
        <v>44531</v>
      </c>
      <c r="R65" s="87"/>
      <c r="S65" s="88">
        <f>((Q65-P65)/7)/4.3</f>
        <v>13.687707641196013</v>
      </c>
      <c r="T65" s="88"/>
      <c r="U65" s="88"/>
      <c r="V65" s="181">
        <v>13107911</v>
      </c>
      <c r="W65" s="115">
        <v>802663</v>
      </c>
      <c r="X65" s="115">
        <v>1051823</v>
      </c>
      <c r="Y65" s="115">
        <v>822272</v>
      </c>
      <c r="Z65" s="115">
        <v>1170091</v>
      </c>
      <c r="AA65" s="115">
        <v>1068761</v>
      </c>
      <c r="AB65" s="115">
        <v>823660</v>
      </c>
      <c r="AC65" s="115">
        <v>1536928</v>
      </c>
      <c r="AD65" s="115">
        <v>1558003</v>
      </c>
      <c r="AE65" s="115">
        <v>1521211</v>
      </c>
      <c r="AF65" s="115">
        <v>1384616.45</v>
      </c>
      <c r="AG65" s="115">
        <v>896696.76</v>
      </c>
      <c r="AH65" s="115">
        <v>358271.54</v>
      </c>
      <c r="AI65" s="275">
        <v>171185.79</v>
      </c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3"/>
      <c r="AW65" s="47"/>
      <c r="AX65" s="53">
        <f>SUM(W65:AW65)</f>
        <v>13166182.539999997</v>
      </c>
      <c r="AY65" s="51"/>
      <c r="AZ65" s="359">
        <f t="shared" si="11"/>
        <v>58271.539999997243</v>
      </c>
      <c r="BB65" s="55"/>
    </row>
    <row r="66" spans="1:54" s="36" customFormat="1" ht="15.75" x14ac:dyDescent="0.25">
      <c r="A66" s="99"/>
      <c r="B66" s="100"/>
      <c r="C66" s="91"/>
      <c r="D66" s="91"/>
      <c r="E66" s="391"/>
      <c r="F66" s="91"/>
      <c r="G66" s="91"/>
      <c r="H66" s="91"/>
      <c r="I66" s="91"/>
      <c r="J66" s="91"/>
      <c r="K66" s="91"/>
      <c r="L66" s="91"/>
      <c r="M66" s="91"/>
      <c r="N66" s="92"/>
      <c r="O66" s="91"/>
      <c r="P66" s="91"/>
      <c r="Q66" s="91"/>
      <c r="R66" s="91"/>
      <c r="S66" s="91"/>
      <c r="T66" s="92"/>
      <c r="U66" s="92"/>
      <c r="V66" s="59">
        <f t="shared" ref="V66:AV66" si="19">SUM(V65)</f>
        <v>13107911</v>
      </c>
      <c r="W66" s="59">
        <f t="shared" si="19"/>
        <v>802663</v>
      </c>
      <c r="X66" s="59">
        <f t="shared" si="19"/>
        <v>1051823</v>
      </c>
      <c r="Y66" s="59">
        <f t="shared" si="19"/>
        <v>822272</v>
      </c>
      <c r="Z66" s="59">
        <f t="shared" si="19"/>
        <v>1170091</v>
      </c>
      <c r="AA66" s="59">
        <f t="shared" si="19"/>
        <v>1068761</v>
      </c>
      <c r="AB66" s="59">
        <f t="shared" si="19"/>
        <v>823660</v>
      </c>
      <c r="AC66" s="59">
        <f t="shared" si="19"/>
        <v>1536928</v>
      </c>
      <c r="AD66" s="59">
        <f t="shared" si="19"/>
        <v>1558003</v>
      </c>
      <c r="AE66" s="59">
        <f t="shared" si="19"/>
        <v>1521211</v>
      </c>
      <c r="AF66" s="59">
        <f t="shared" si="19"/>
        <v>1384616.45</v>
      </c>
      <c r="AG66" s="59">
        <f t="shared" si="19"/>
        <v>896696.76</v>
      </c>
      <c r="AH66" s="59">
        <f>SUM(AH65)</f>
        <v>358271.54</v>
      </c>
      <c r="AI66" s="59">
        <f t="shared" si="19"/>
        <v>171185.79</v>
      </c>
      <c r="AJ66" s="59">
        <f t="shared" si="19"/>
        <v>0</v>
      </c>
      <c r="AK66" s="59">
        <f t="shared" si="19"/>
        <v>0</v>
      </c>
      <c r="AL66" s="59">
        <f t="shared" si="19"/>
        <v>0</v>
      </c>
      <c r="AM66" s="59">
        <f t="shared" si="19"/>
        <v>0</v>
      </c>
      <c r="AN66" s="59">
        <f t="shared" si="19"/>
        <v>0</v>
      </c>
      <c r="AO66" s="59">
        <f t="shared" si="19"/>
        <v>0</v>
      </c>
      <c r="AP66" s="59">
        <f t="shared" si="19"/>
        <v>0</v>
      </c>
      <c r="AQ66" s="59">
        <f t="shared" si="19"/>
        <v>0</v>
      </c>
      <c r="AR66" s="59">
        <f t="shared" si="19"/>
        <v>0</v>
      </c>
      <c r="AS66" s="59">
        <f t="shared" si="19"/>
        <v>0</v>
      </c>
      <c r="AT66" s="59">
        <f t="shared" si="19"/>
        <v>0</v>
      </c>
      <c r="AU66" s="59">
        <f t="shared" si="19"/>
        <v>0</v>
      </c>
      <c r="AV66" s="59">
        <f t="shared" si="19"/>
        <v>0</v>
      </c>
      <c r="AW66" s="47"/>
      <c r="AX66" s="53">
        <f>SUM(W66:AW66)</f>
        <v>13166182.539999997</v>
      </c>
      <c r="AY66" s="51"/>
      <c r="AZ66" s="359">
        <f t="shared" si="11"/>
        <v>58271.539999997243</v>
      </c>
      <c r="BB66" s="55"/>
    </row>
    <row r="67" spans="1:54" s="36" customFormat="1" ht="15.75" x14ac:dyDescent="0.25">
      <c r="A67" s="381" t="s">
        <v>517</v>
      </c>
      <c r="B67" s="106"/>
      <c r="C67" s="102" t="s">
        <v>563</v>
      </c>
      <c r="D67" s="102"/>
      <c r="E67" s="387"/>
      <c r="F67" s="102"/>
      <c r="G67" s="102"/>
      <c r="H67" s="102"/>
      <c r="I67" s="102"/>
      <c r="J67" s="276"/>
      <c r="K67" s="276"/>
      <c r="L67" s="276"/>
      <c r="M67" s="276"/>
      <c r="N67" s="84"/>
      <c r="O67" s="102"/>
      <c r="P67" s="102"/>
      <c r="Q67" s="102"/>
      <c r="R67" s="102"/>
      <c r="S67" s="102"/>
      <c r="T67" s="102"/>
      <c r="U67" s="102"/>
      <c r="V67" s="102"/>
      <c r="W67" s="85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47"/>
      <c r="AX67" s="85"/>
      <c r="AY67" s="51"/>
      <c r="AZ67" s="359">
        <f t="shared" si="11"/>
        <v>0</v>
      </c>
      <c r="BB67" s="55"/>
    </row>
    <row r="68" spans="1:54" s="36" customFormat="1" ht="15.75" x14ac:dyDescent="0.25">
      <c r="A68" s="316" t="s">
        <v>634</v>
      </c>
      <c r="B68" s="317" t="s">
        <v>576</v>
      </c>
      <c r="C68" s="310" t="s">
        <v>563</v>
      </c>
      <c r="D68" s="310" t="s">
        <v>708</v>
      </c>
      <c r="E68" s="317" t="s">
        <v>685</v>
      </c>
      <c r="F68" s="310" t="s">
        <v>237</v>
      </c>
      <c r="G68" s="310"/>
      <c r="H68" s="310"/>
      <c r="I68" s="310"/>
      <c r="J68" s="318" t="s">
        <v>24</v>
      </c>
      <c r="K68" s="318"/>
      <c r="L68" s="318" t="s">
        <v>24</v>
      </c>
      <c r="M68" s="318"/>
      <c r="N68" s="318" t="s">
        <v>24</v>
      </c>
      <c r="O68" s="318" t="s">
        <v>24</v>
      </c>
      <c r="P68" s="318">
        <v>44382</v>
      </c>
      <c r="Q68" s="318">
        <v>44428</v>
      </c>
      <c r="R68" s="318"/>
      <c r="S68" s="311">
        <f t="shared" ref="S68:S83" si="20">((Q68-P68)/7)/4.3</f>
        <v>1.5282392026578073</v>
      </c>
      <c r="T68" s="311"/>
      <c r="U68" s="311"/>
      <c r="V68" s="306">
        <v>89125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28797</v>
      </c>
      <c r="AF68" s="115">
        <v>8473.4</v>
      </c>
      <c r="AG68" s="115">
        <v>0</v>
      </c>
      <c r="AH68" s="115">
        <v>0</v>
      </c>
      <c r="AI68" s="53"/>
      <c r="AJ68" s="275">
        <v>51854.600000000006</v>
      </c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3"/>
      <c r="AW68" s="47"/>
      <c r="AX68" s="53">
        <f t="shared" ref="AX68:AX84" si="21">SUM(W68:AW68)</f>
        <v>89125</v>
      </c>
      <c r="AY68" s="51"/>
      <c r="AZ68" s="359">
        <f t="shared" si="11"/>
        <v>0</v>
      </c>
      <c r="BB68" s="55"/>
    </row>
    <row r="69" spans="1:54" s="36" customFormat="1" ht="15.75" x14ac:dyDescent="0.25">
      <c r="A69" s="312" t="s">
        <v>635</v>
      </c>
      <c r="B69" s="312" t="s">
        <v>577</v>
      </c>
      <c r="C69" s="310" t="s">
        <v>563</v>
      </c>
      <c r="D69" s="310" t="s">
        <v>708</v>
      </c>
      <c r="E69" s="312" t="s">
        <v>686</v>
      </c>
      <c r="F69" s="310" t="s">
        <v>237</v>
      </c>
      <c r="G69" s="310"/>
      <c r="H69" s="310"/>
      <c r="I69" s="310"/>
      <c r="J69" s="318" t="s">
        <v>24</v>
      </c>
      <c r="K69" s="318"/>
      <c r="L69" s="318" t="s">
        <v>24</v>
      </c>
      <c r="M69" s="318"/>
      <c r="N69" s="318" t="s">
        <v>24</v>
      </c>
      <c r="O69" s="318" t="s">
        <v>24</v>
      </c>
      <c r="P69" s="318">
        <v>44382</v>
      </c>
      <c r="Q69" s="318">
        <v>44428</v>
      </c>
      <c r="R69" s="318"/>
      <c r="S69" s="311">
        <f t="shared" si="20"/>
        <v>1.5282392026578073</v>
      </c>
      <c r="T69" s="311"/>
      <c r="U69" s="311"/>
      <c r="V69" s="306">
        <v>75650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  <c r="AC69" s="115">
        <v>0</v>
      </c>
      <c r="AD69" s="115">
        <v>0</v>
      </c>
      <c r="AE69" s="115">
        <v>24902</v>
      </c>
      <c r="AF69" s="115">
        <v>5295.49</v>
      </c>
      <c r="AG69" s="115">
        <v>0</v>
      </c>
      <c r="AH69" s="115">
        <v>0</v>
      </c>
      <c r="AI69" s="53"/>
      <c r="AJ69" s="275">
        <v>45452.510000000009</v>
      </c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3"/>
      <c r="AW69" s="47"/>
      <c r="AX69" s="53">
        <f t="shared" si="21"/>
        <v>75650</v>
      </c>
      <c r="AY69" s="51"/>
      <c r="AZ69" s="359">
        <f t="shared" si="11"/>
        <v>0</v>
      </c>
      <c r="BB69" s="55"/>
    </row>
    <row r="70" spans="1:54" s="36" customFormat="1" ht="15.75" x14ac:dyDescent="0.25">
      <c r="A70" s="312" t="s">
        <v>215</v>
      </c>
      <c r="B70" s="313" t="s">
        <v>674</v>
      </c>
      <c r="C70" s="310" t="s">
        <v>563</v>
      </c>
      <c r="D70" s="310" t="s">
        <v>708</v>
      </c>
      <c r="E70" s="312" t="s">
        <v>636</v>
      </c>
      <c r="F70" s="310" t="s">
        <v>237</v>
      </c>
      <c r="G70" s="310"/>
      <c r="H70" s="310"/>
      <c r="I70" s="310"/>
      <c r="J70" s="318">
        <v>44299</v>
      </c>
      <c r="K70" s="318"/>
      <c r="L70" s="318">
        <v>44313</v>
      </c>
      <c r="M70" s="318"/>
      <c r="N70" s="331">
        <f>L70-J70</f>
        <v>14</v>
      </c>
      <c r="O70" s="310" t="s">
        <v>370</v>
      </c>
      <c r="P70" s="318">
        <v>44333</v>
      </c>
      <c r="Q70" s="318">
        <v>44356</v>
      </c>
      <c r="R70" s="310"/>
      <c r="S70" s="311">
        <f t="shared" si="20"/>
        <v>0.76411960132890366</v>
      </c>
      <c r="T70" s="311"/>
      <c r="U70" s="311"/>
      <c r="V70" s="306">
        <v>67027</v>
      </c>
      <c r="W70" s="115">
        <v>0</v>
      </c>
      <c r="X70" s="115">
        <v>0</v>
      </c>
      <c r="Y70" s="115">
        <v>0</v>
      </c>
      <c r="Z70" s="115">
        <v>0</v>
      </c>
      <c r="AA70" s="115">
        <v>0</v>
      </c>
      <c r="AB70" s="115">
        <v>0</v>
      </c>
      <c r="AC70" s="115">
        <v>67027</v>
      </c>
      <c r="AD70" s="115">
        <v>0</v>
      </c>
      <c r="AE70" s="115">
        <v>0</v>
      </c>
      <c r="AF70" s="115">
        <v>0</v>
      </c>
      <c r="AG70" s="115">
        <v>0</v>
      </c>
      <c r="AH70" s="115">
        <v>3185.48</v>
      </c>
      <c r="AI70" s="53"/>
      <c r="AJ70" s="53"/>
      <c r="AK70" s="53"/>
      <c r="AL70" s="53"/>
      <c r="AM70" s="58"/>
      <c r="AN70" s="58"/>
      <c r="AO70" s="58"/>
      <c r="AP70" s="58"/>
      <c r="AQ70" s="58"/>
      <c r="AR70" s="58"/>
      <c r="AS70" s="58"/>
      <c r="AT70" s="58"/>
      <c r="AU70" s="58"/>
      <c r="AV70" s="53"/>
      <c r="AW70" s="47"/>
      <c r="AX70" s="53">
        <f t="shared" si="21"/>
        <v>70212.479999999996</v>
      </c>
      <c r="AY70" s="51"/>
      <c r="AZ70" s="359">
        <f t="shared" si="11"/>
        <v>3185.4799999999959</v>
      </c>
      <c r="BB70" s="55"/>
    </row>
    <row r="71" spans="1:54" s="36" customFormat="1" ht="15.75" x14ac:dyDescent="0.25">
      <c r="A71" s="60" t="s">
        <v>560</v>
      </c>
      <c r="B71" s="112" t="s">
        <v>637</v>
      </c>
      <c r="C71" s="52" t="s">
        <v>563</v>
      </c>
      <c r="D71" s="52" t="s">
        <v>708</v>
      </c>
      <c r="E71" s="34" t="s">
        <v>638</v>
      </c>
      <c r="F71" s="52" t="s">
        <v>46</v>
      </c>
      <c r="G71" s="52"/>
      <c r="H71" s="52"/>
      <c r="I71" s="52"/>
      <c r="J71" s="330">
        <v>44369</v>
      </c>
      <c r="K71" s="330"/>
      <c r="L71" s="330">
        <v>44389</v>
      </c>
      <c r="M71" s="330"/>
      <c r="N71" s="333">
        <f>L71-J71</f>
        <v>20</v>
      </c>
      <c r="O71" s="52" t="s">
        <v>370</v>
      </c>
      <c r="P71" s="330">
        <v>44382</v>
      </c>
      <c r="Q71" s="329">
        <v>44470</v>
      </c>
      <c r="R71" s="52"/>
      <c r="S71" s="50">
        <f t="shared" si="20"/>
        <v>2.9235880398671097</v>
      </c>
      <c r="T71" s="50"/>
      <c r="U71" s="50"/>
      <c r="V71" s="182">
        <v>38040</v>
      </c>
      <c r="W71" s="115">
        <v>0</v>
      </c>
      <c r="X71" s="115">
        <v>0</v>
      </c>
      <c r="Y71" s="115">
        <v>0</v>
      </c>
      <c r="Z71" s="115">
        <v>0</v>
      </c>
      <c r="AA71" s="115">
        <v>0</v>
      </c>
      <c r="AB71" s="115">
        <v>0</v>
      </c>
      <c r="AC71" s="115">
        <v>0</v>
      </c>
      <c r="AD71" s="115">
        <v>0</v>
      </c>
      <c r="AE71" s="115">
        <v>38040</v>
      </c>
      <c r="AF71" s="115">
        <v>0</v>
      </c>
      <c r="AG71" s="115">
        <v>0</v>
      </c>
      <c r="AH71" s="115">
        <v>0</v>
      </c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3"/>
      <c r="AW71" s="47"/>
      <c r="AX71" s="53">
        <f t="shared" si="21"/>
        <v>38040</v>
      </c>
      <c r="AY71" s="51"/>
      <c r="AZ71" s="359">
        <f t="shared" si="11"/>
        <v>0</v>
      </c>
      <c r="BB71" s="55"/>
    </row>
    <row r="72" spans="1:54" s="36" customFormat="1" ht="15.75" x14ac:dyDescent="0.25">
      <c r="A72" s="312" t="s">
        <v>556</v>
      </c>
      <c r="B72" s="313" t="s">
        <v>672</v>
      </c>
      <c r="C72" s="310" t="s">
        <v>563</v>
      </c>
      <c r="D72" s="310" t="s">
        <v>708</v>
      </c>
      <c r="E72" s="313" t="s">
        <v>640</v>
      </c>
      <c r="F72" s="310" t="s">
        <v>237</v>
      </c>
      <c r="G72" s="310"/>
      <c r="H72" s="310"/>
      <c r="I72" s="310"/>
      <c r="J72" s="318">
        <v>44330</v>
      </c>
      <c r="K72" s="318"/>
      <c r="L72" s="318">
        <v>44362</v>
      </c>
      <c r="M72" s="318"/>
      <c r="N72" s="331">
        <f>L72-J72</f>
        <v>32</v>
      </c>
      <c r="O72" s="310" t="s">
        <v>370</v>
      </c>
      <c r="P72" s="318">
        <v>44368</v>
      </c>
      <c r="Q72" s="318">
        <v>44425</v>
      </c>
      <c r="R72" s="318"/>
      <c r="S72" s="311">
        <f t="shared" si="20"/>
        <v>1.893687707641196</v>
      </c>
      <c r="T72" s="311"/>
      <c r="U72" s="311"/>
      <c r="V72" s="306">
        <v>74344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74344</v>
      </c>
      <c r="AF72" s="115">
        <v>0</v>
      </c>
      <c r="AG72" s="115">
        <v>0</v>
      </c>
      <c r="AH72" s="115">
        <v>0</v>
      </c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3"/>
      <c r="AW72" s="47"/>
      <c r="AX72" s="53">
        <f t="shared" si="21"/>
        <v>74344</v>
      </c>
      <c r="AY72" s="51"/>
      <c r="AZ72" s="359">
        <f t="shared" ref="AZ72:AZ103" si="22">AX72-V72</f>
        <v>0</v>
      </c>
      <c r="BB72" s="55"/>
    </row>
    <row r="73" spans="1:54" s="36" customFormat="1" ht="15.75" x14ac:dyDescent="0.25">
      <c r="A73" s="312" t="s">
        <v>554</v>
      </c>
      <c r="B73" s="313" t="s">
        <v>673</v>
      </c>
      <c r="C73" s="310" t="s">
        <v>563</v>
      </c>
      <c r="D73" s="310" t="s">
        <v>708</v>
      </c>
      <c r="E73" s="312" t="s">
        <v>639</v>
      </c>
      <c r="F73" s="310" t="s">
        <v>237</v>
      </c>
      <c r="G73" s="310"/>
      <c r="H73" s="310"/>
      <c r="I73" s="310"/>
      <c r="J73" s="318" t="s">
        <v>24</v>
      </c>
      <c r="K73" s="318"/>
      <c r="L73" s="318" t="s">
        <v>24</v>
      </c>
      <c r="M73" s="318"/>
      <c r="N73" s="331" t="s">
        <v>24</v>
      </c>
      <c r="O73" s="318" t="s">
        <v>24</v>
      </c>
      <c r="P73" s="318">
        <v>44358</v>
      </c>
      <c r="Q73" s="318">
        <v>44379</v>
      </c>
      <c r="R73" s="310"/>
      <c r="S73" s="311">
        <f t="shared" si="20"/>
        <v>0.69767441860465118</v>
      </c>
      <c r="T73" s="311"/>
      <c r="U73" s="311"/>
      <c r="V73" s="306">
        <v>6336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  <c r="AC73" s="115">
        <v>0</v>
      </c>
      <c r="AD73" s="115">
        <v>0</v>
      </c>
      <c r="AE73" s="115">
        <v>6336</v>
      </c>
      <c r="AF73" s="115">
        <v>0</v>
      </c>
      <c r="AG73" s="115">
        <v>0</v>
      </c>
      <c r="AH73" s="115">
        <v>0</v>
      </c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3"/>
      <c r="AW73" s="47"/>
      <c r="AX73" s="53">
        <f t="shared" si="21"/>
        <v>6336</v>
      </c>
      <c r="AY73" s="51"/>
      <c r="AZ73" s="359">
        <f t="shared" si="22"/>
        <v>0</v>
      </c>
      <c r="BB73" s="55"/>
    </row>
    <row r="74" spans="1:54" s="36" customFormat="1" ht="15.75" x14ac:dyDescent="0.25">
      <c r="A74" s="312" t="s">
        <v>113</v>
      </c>
      <c r="B74" s="313" t="s">
        <v>114</v>
      </c>
      <c r="C74" s="310" t="s">
        <v>563</v>
      </c>
      <c r="D74" s="310" t="s">
        <v>708</v>
      </c>
      <c r="E74" s="312" t="s">
        <v>687</v>
      </c>
      <c r="F74" s="310" t="s">
        <v>237</v>
      </c>
      <c r="G74" s="310"/>
      <c r="H74" s="310"/>
      <c r="I74" s="310"/>
      <c r="J74" s="318" t="s">
        <v>24</v>
      </c>
      <c r="K74" s="318"/>
      <c r="L74" s="318" t="s">
        <v>24</v>
      </c>
      <c r="M74" s="318"/>
      <c r="N74" s="331" t="s">
        <v>24</v>
      </c>
      <c r="O74" s="310" t="s">
        <v>370</v>
      </c>
      <c r="P74" s="318">
        <v>44256</v>
      </c>
      <c r="Q74" s="318">
        <v>44347</v>
      </c>
      <c r="R74" s="318"/>
      <c r="S74" s="311">
        <f t="shared" si="20"/>
        <v>3.0232558139534884</v>
      </c>
      <c r="T74" s="311"/>
      <c r="U74" s="311"/>
      <c r="V74" s="306">
        <v>52095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  <c r="AC74" s="115">
        <v>52095</v>
      </c>
      <c r="AD74" s="115">
        <v>0</v>
      </c>
      <c r="AE74" s="115">
        <v>0</v>
      </c>
      <c r="AF74" s="115">
        <v>0</v>
      </c>
      <c r="AG74" s="115">
        <v>0</v>
      </c>
      <c r="AH74" s="115">
        <v>10962.16</v>
      </c>
      <c r="AI74" s="53"/>
      <c r="AJ74" s="53">
        <v>0</v>
      </c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3"/>
      <c r="AW74" s="47"/>
      <c r="AX74" s="53">
        <f t="shared" si="21"/>
        <v>63057.16</v>
      </c>
      <c r="AY74" s="51"/>
      <c r="AZ74" s="359">
        <f t="shared" si="22"/>
        <v>10962.160000000003</v>
      </c>
      <c r="BB74" s="55"/>
    </row>
    <row r="75" spans="1:54" s="36" customFormat="1" ht="15.75" x14ac:dyDescent="0.25">
      <c r="A75" s="312" t="s">
        <v>199</v>
      </c>
      <c r="B75" s="313" t="s">
        <v>675</v>
      </c>
      <c r="C75" s="310" t="s">
        <v>563</v>
      </c>
      <c r="D75" s="310" t="s">
        <v>708</v>
      </c>
      <c r="E75" s="312" t="s">
        <v>688</v>
      </c>
      <c r="F75" s="310" t="s">
        <v>237</v>
      </c>
      <c r="G75" s="310"/>
      <c r="H75" s="310"/>
      <c r="I75" s="310"/>
      <c r="J75" s="318">
        <v>44277</v>
      </c>
      <c r="K75" s="318"/>
      <c r="L75" s="318">
        <v>44302</v>
      </c>
      <c r="M75" s="318"/>
      <c r="N75" s="331">
        <f t="shared" ref="N75:N83" si="23">L75-J75</f>
        <v>25</v>
      </c>
      <c r="O75" s="310" t="s">
        <v>370</v>
      </c>
      <c r="P75" s="318">
        <v>44340</v>
      </c>
      <c r="Q75" s="318">
        <v>44419</v>
      </c>
      <c r="R75" s="318"/>
      <c r="S75" s="311">
        <f t="shared" si="20"/>
        <v>2.6245847176079735</v>
      </c>
      <c r="T75" s="311"/>
      <c r="U75" s="311"/>
      <c r="V75" s="306">
        <v>156692</v>
      </c>
      <c r="W75" s="115">
        <v>0</v>
      </c>
      <c r="X75" s="115">
        <v>0</v>
      </c>
      <c r="Y75" s="115">
        <v>0</v>
      </c>
      <c r="Z75" s="115">
        <v>0</v>
      </c>
      <c r="AA75" s="115">
        <v>0</v>
      </c>
      <c r="AB75" s="115">
        <v>0</v>
      </c>
      <c r="AC75" s="115">
        <v>0</v>
      </c>
      <c r="AD75" s="115">
        <v>156692</v>
      </c>
      <c r="AE75" s="115">
        <v>0</v>
      </c>
      <c r="AF75" s="115">
        <v>0</v>
      </c>
      <c r="AG75" s="115">
        <v>0</v>
      </c>
      <c r="AH75" s="115">
        <v>5333.82</v>
      </c>
      <c r="AI75" s="53"/>
      <c r="AJ75" s="53">
        <v>0</v>
      </c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3"/>
      <c r="AW75" s="47"/>
      <c r="AX75" s="53">
        <f t="shared" si="21"/>
        <v>162025.82</v>
      </c>
      <c r="AY75" s="51"/>
      <c r="AZ75" s="359">
        <f t="shared" si="22"/>
        <v>5333.820000000007</v>
      </c>
    </row>
    <row r="76" spans="1:54" s="36" customFormat="1" ht="15.75" x14ac:dyDescent="0.25">
      <c r="A76" s="312" t="s">
        <v>201</v>
      </c>
      <c r="B76" s="313" t="s">
        <v>676</v>
      </c>
      <c r="C76" s="310" t="s">
        <v>563</v>
      </c>
      <c r="D76" s="310" t="s">
        <v>708</v>
      </c>
      <c r="E76" s="312" t="s">
        <v>690</v>
      </c>
      <c r="F76" s="310" t="s">
        <v>237</v>
      </c>
      <c r="G76" s="310"/>
      <c r="H76" s="310"/>
      <c r="I76" s="310"/>
      <c r="J76" s="318">
        <v>44277</v>
      </c>
      <c r="K76" s="318"/>
      <c r="L76" s="318">
        <v>44293</v>
      </c>
      <c r="M76" s="318"/>
      <c r="N76" s="331">
        <f t="shared" si="23"/>
        <v>16</v>
      </c>
      <c r="O76" s="310" t="s">
        <v>370</v>
      </c>
      <c r="P76" s="318">
        <v>44340</v>
      </c>
      <c r="Q76" s="318">
        <v>44417</v>
      </c>
      <c r="R76" s="318"/>
      <c r="S76" s="311">
        <f t="shared" si="20"/>
        <v>2.558139534883721</v>
      </c>
      <c r="T76" s="311"/>
      <c r="U76" s="311"/>
      <c r="V76" s="306">
        <v>94557</v>
      </c>
      <c r="W76" s="115">
        <v>0</v>
      </c>
      <c r="X76" s="115">
        <v>0</v>
      </c>
      <c r="Y76" s="115">
        <v>0</v>
      </c>
      <c r="Z76" s="115">
        <v>0</v>
      </c>
      <c r="AA76" s="115">
        <v>0</v>
      </c>
      <c r="AB76" s="115">
        <v>0</v>
      </c>
      <c r="AC76" s="115">
        <v>0</v>
      </c>
      <c r="AD76" s="115">
        <v>94557</v>
      </c>
      <c r="AE76" s="115">
        <v>0</v>
      </c>
      <c r="AF76" s="115">
        <v>0</v>
      </c>
      <c r="AG76" s="115">
        <v>13646.35</v>
      </c>
      <c r="AH76" s="115">
        <v>0</v>
      </c>
      <c r="AI76" s="53"/>
      <c r="AJ76" s="275">
        <v>-13646.35</v>
      </c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3"/>
      <c r="AW76" s="47"/>
      <c r="AX76" s="53">
        <f t="shared" si="21"/>
        <v>94557</v>
      </c>
      <c r="AY76" s="51"/>
      <c r="AZ76" s="359">
        <f t="shared" si="22"/>
        <v>0</v>
      </c>
    </row>
    <row r="77" spans="1:54" s="36" customFormat="1" ht="15.75" x14ac:dyDescent="0.25">
      <c r="A77" s="34" t="s">
        <v>544</v>
      </c>
      <c r="B77" s="34" t="s">
        <v>670</v>
      </c>
      <c r="C77" s="52" t="s">
        <v>563</v>
      </c>
      <c r="D77" s="52" t="s">
        <v>708</v>
      </c>
      <c r="E77" s="34" t="s">
        <v>742</v>
      </c>
      <c r="F77" s="52" t="s">
        <v>46</v>
      </c>
      <c r="G77" s="52"/>
      <c r="H77" s="52"/>
      <c r="I77" s="52"/>
      <c r="J77" s="330">
        <v>44440</v>
      </c>
      <c r="K77" s="330"/>
      <c r="L77" s="349">
        <v>44455</v>
      </c>
      <c r="M77" s="349"/>
      <c r="N77" s="333">
        <f t="shared" si="23"/>
        <v>15</v>
      </c>
      <c r="O77" s="52"/>
      <c r="P77" s="330">
        <v>44461</v>
      </c>
      <c r="Q77" s="52">
        <v>44486</v>
      </c>
      <c r="R77" s="330"/>
      <c r="S77" s="88">
        <f t="shared" si="20"/>
        <v>0.83056478405315626</v>
      </c>
      <c r="T77" s="50"/>
      <c r="U77" s="50"/>
      <c r="V77" s="181">
        <v>15493</v>
      </c>
      <c r="W77" s="115">
        <v>0</v>
      </c>
      <c r="X77" s="115">
        <v>0</v>
      </c>
      <c r="Y77" s="115">
        <v>0</v>
      </c>
      <c r="Z77" s="115">
        <v>0</v>
      </c>
      <c r="AA77" s="115">
        <v>0</v>
      </c>
      <c r="AB77" s="115">
        <v>0</v>
      </c>
      <c r="AC77" s="115">
        <v>0</v>
      </c>
      <c r="AD77" s="115">
        <v>0</v>
      </c>
      <c r="AE77" s="115">
        <v>0</v>
      </c>
      <c r="AF77" s="115">
        <v>0</v>
      </c>
      <c r="AG77" s="115">
        <v>0</v>
      </c>
      <c r="AH77" s="115">
        <v>0</v>
      </c>
      <c r="AI77" s="53"/>
      <c r="AJ77" s="275">
        <v>15493</v>
      </c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3"/>
      <c r="AW77" s="47"/>
      <c r="AX77" s="53">
        <f t="shared" si="21"/>
        <v>15493</v>
      </c>
      <c r="AY77" s="51"/>
      <c r="AZ77" s="359">
        <f t="shared" si="22"/>
        <v>0</v>
      </c>
      <c r="BB77" s="55"/>
    </row>
    <row r="78" spans="1:54" s="36" customFormat="1" ht="15.75" x14ac:dyDescent="0.25">
      <c r="A78" s="312" t="s">
        <v>529</v>
      </c>
      <c r="B78" s="326" t="s">
        <v>669</v>
      </c>
      <c r="C78" s="310" t="s">
        <v>563</v>
      </c>
      <c r="D78" s="310" t="s">
        <v>708</v>
      </c>
      <c r="E78" s="312" t="s">
        <v>692</v>
      </c>
      <c r="F78" s="310" t="s">
        <v>237</v>
      </c>
      <c r="G78" s="310"/>
      <c r="H78" s="310"/>
      <c r="I78" s="310"/>
      <c r="J78" s="318">
        <v>44323</v>
      </c>
      <c r="K78" s="318"/>
      <c r="L78" s="318">
        <v>44358</v>
      </c>
      <c r="M78" s="318"/>
      <c r="N78" s="331">
        <f t="shared" si="23"/>
        <v>35</v>
      </c>
      <c r="O78" s="310" t="s">
        <v>370</v>
      </c>
      <c r="P78" s="318">
        <v>44383</v>
      </c>
      <c r="Q78" s="318">
        <v>44456</v>
      </c>
      <c r="R78" s="310"/>
      <c r="S78" s="311">
        <f t="shared" si="20"/>
        <v>2.4252491694352161</v>
      </c>
      <c r="T78" s="311"/>
      <c r="U78" s="311"/>
      <c r="V78" s="306">
        <v>101240</v>
      </c>
      <c r="W78" s="115">
        <v>0</v>
      </c>
      <c r="X78" s="115">
        <v>0</v>
      </c>
      <c r="Y78" s="115">
        <v>0</v>
      </c>
      <c r="Z78" s="115">
        <v>0</v>
      </c>
      <c r="AA78" s="115">
        <v>0</v>
      </c>
      <c r="AB78" s="115">
        <v>0</v>
      </c>
      <c r="AC78" s="115">
        <v>0</v>
      </c>
      <c r="AD78" s="115">
        <v>36103</v>
      </c>
      <c r="AE78" s="115">
        <v>58225</v>
      </c>
      <c r="AF78" s="115">
        <v>0</v>
      </c>
      <c r="AG78" s="115">
        <v>0</v>
      </c>
      <c r="AH78" s="115">
        <v>0</v>
      </c>
      <c r="AI78" s="53"/>
      <c r="AJ78" s="275">
        <v>6912</v>
      </c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3"/>
      <c r="AW78" s="47"/>
      <c r="AX78" s="53">
        <f t="shared" si="21"/>
        <v>101240</v>
      </c>
      <c r="AY78" s="51"/>
      <c r="AZ78" s="359">
        <f t="shared" si="22"/>
        <v>0</v>
      </c>
    </row>
    <row r="79" spans="1:54" s="36" customFormat="1" ht="15.75" x14ac:dyDescent="0.25">
      <c r="A79" s="312" t="s">
        <v>527</v>
      </c>
      <c r="B79" s="312" t="s">
        <v>677</v>
      </c>
      <c r="C79" s="310" t="s">
        <v>563</v>
      </c>
      <c r="D79" s="310" t="s">
        <v>708</v>
      </c>
      <c r="E79" s="312" t="s">
        <v>693</v>
      </c>
      <c r="F79" s="310" t="s">
        <v>237</v>
      </c>
      <c r="G79" s="310"/>
      <c r="H79" s="310"/>
      <c r="I79" s="310"/>
      <c r="J79" s="318">
        <v>44351</v>
      </c>
      <c r="K79" s="318"/>
      <c r="L79" s="318">
        <v>44368</v>
      </c>
      <c r="M79" s="318"/>
      <c r="N79" s="331">
        <f t="shared" si="23"/>
        <v>17</v>
      </c>
      <c r="O79" s="52" t="s">
        <v>370</v>
      </c>
      <c r="P79" s="318">
        <v>44375</v>
      </c>
      <c r="Q79" s="310">
        <v>44438</v>
      </c>
      <c r="R79" s="310"/>
      <c r="S79" s="311">
        <f t="shared" si="20"/>
        <v>2.0930232558139537</v>
      </c>
      <c r="T79" s="311"/>
      <c r="U79" s="311"/>
      <c r="V79" s="306">
        <v>36900</v>
      </c>
      <c r="W79" s="115">
        <v>0</v>
      </c>
      <c r="X79" s="115">
        <v>0</v>
      </c>
      <c r="Y79" s="115">
        <v>0</v>
      </c>
      <c r="Z79" s="115">
        <v>0</v>
      </c>
      <c r="AA79" s="115">
        <v>0</v>
      </c>
      <c r="AB79" s="115">
        <v>0</v>
      </c>
      <c r="AC79" s="115">
        <v>0</v>
      </c>
      <c r="AD79" s="115">
        <v>36900</v>
      </c>
      <c r="AE79" s="115">
        <v>0</v>
      </c>
      <c r="AF79" s="115">
        <v>0</v>
      </c>
      <c r="AG79" s="115">
        <v>0</v>
      </c>
      <c r="AH79" s="115">
        <v>0</v>
      </c>
      <c r="AI79" s="53"/>
      <c r="AJ79" s="275">
        <v>0</v>
      </c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47"/>
      <c r="AX79" s="53">
        <f t="shared" si="21"/>
        <v>36900</v>
      </c>
      <c r="AY79" s="51"/>
      <c r="AZ79" s="359">
        <f t="shared" si="22"/>
        <v>0</v>
      </c>
    </row>
    <row r="80" spans="1:54" s="36" customFormat="1" ht="15.75" x14ac:dyDescent="0.25">
      <c r="A80" s="312" t="s">
        <v>666</v>
      </c>
      <c r="B80" s="313" t="s">
        <v>741</v>
      </c>
      <c r="C80" s="310" t="s">
        <v>563</v>
      </c>
      <c r="D80" s="310" t="s">
        <v>708</v>
      </c>
      <c r="E80" s="312" t="s">
        <v>690</v>
      </c>
      <c r="F80" s="310" t="s">
        <v>237</v>
      </c>
      <c r="G80" s="310"/>
      <c r="H80" s="310"/>
      <c r="I80" s="310"/>
      <c r="J80" s="318">
        <v>44460</v>
      </c>
      <c r="K80" s="318"/>
      <c r="L80" s="318">
        <v>44484</v>
      </c>
      <c r="M80" s="318"/>
      <c r="N80" s="311">
        <f t="shared" si="23"/>
        <v>24</v>
      </c>
      <c r="O80" s="310" t="s">
        <v>370</v>
      </c>
      <c r="P80" s="318">
        <v>44468</v>
      </c>
      <c r="Q80" s="318">
        <v>44477</v>
      </c>
      <c r="R80" s="310"/>
      <c r="S80" s="311">
        <f t="shared" si="20"/>
        <v>0.29900332225913623</v>
      </c>
      <c r="T80" s="311"/>
      <c r="U80" s="311"/>
      <c r="V80" s="306">
        <v>12885</v>
      </c>
      <c r="W80" s="115">
        <v>0</v>
      </c>
      <c r="X80" s="115">
        <v>0</v>
      </c>
      <c r="Y80" s="115">
        <v>0</v>
      </c>
      <c r="Z80" s="115">
        <v>0</v>
      </c>
      <c r="AA80" s="115">
        <v>0</v>
      </c>
      <c r="AB80" s="115">
        <v>0</v>
      </c>
      <c r="AC80" s="115">
        <v>0</v>
      </c>
      <c r="AD80" s="115">
        <v>0</v>
      </c>
      <c r="AE80" s="115">
        <v>0</v>
      </c>
      <c r="AF80" s="115">
        <v>0</v>
      </c>
      <c r="AG80" s="115">
        <v>0</v>
      </c>
      <c r="AH80" s="115">
        <v>20166.669999999998</v>
      </c>
      <c r="AI80" s="53"/>
      <c r="AJ80" s="275">
        <v>12885</v>
      </c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47"/>
      <c r="AX80" s="53">
        <f t="shared" si="21"/>
        <v>33051.67</v>
      </c>
      <c r="AY80" s="51"/>
      <c r="AZ80" s="359">
        <f t="shared" si="22"/>
        <v>20166.669999999998</v>
      </c>
    </row>
    <row r="81" spans="1:54" s="36" customFormat="1" ht="15.75" x14ac:dyDescent="0.25">
      <c r="A81" s="374" t="s">
        <v>150</v>
      </c>
      <c r="B81" s="374" t="s">
        <v>151</v>
      </c>
      <c r="C81" s="52" t="s">
        <v>563</v>
      </c>
      <c r="D81" s="52" t="s">
        <v>704</v>
      </c>
      <c r="E81" s="57" t="s">
        <v>709</v>
      </c>
      <c r="F81" s="52" t="s">
        <v>46</v>
      </c>
      <c r="G81" s="52" t="s">
        <v>370</v>
      </c>
      <c r="H81" s="52" t="s">
        <v>370</v>
      </c>
      <c r="I81" s="87"/>
      <c r="J81" s="329">
        <v>44369</v>
      </c>
      <c r="K81" s="329"/>
      <c r="L81" s="329">
        <v>44509</v>
      </c>
      <c r="M81" s="329"/>
      <c r="N81" s="333">
        <f t="shared" si="23"/>
        <v>140</v>
      </c>
      <c r="O81" s="52" t="s">
        <v>370</v>
      </c>
      <c r="P81" s="377">
        <v>44517</v>
      </c>
      <c r="Q81" s="52">
        <v>44713</v>
      </c>
      <c r="R81" s="52"/>
      <c r="S81" s="50">
        <f t="shared" si="20"/>
        <v>6.5116279069767442</v>
      </c>
      <c r="T81" s="50"/>
      <c r="U81" s="50"/>
      <c r="V81" s="182">
        <v>1910050</v>
      </c>
      <c r="W81" s="115">
        <v>0</v>
      </c>
      <c r="X81" s="115">
        <v>0</v>
      </c>
      <c r="Y81" s="115">
        <v>0</v>
      </c>
      <c r="Z81" s="115">
        <v>0</v>
      </c>
      <c r="AA81" s="115">
        <v>0</v>
      </c>
      <c r="AB81" s="115">
        <v>0</v>
      </c>
      <c r="AC81" s="115">
        <f>119451</f>
        <v>119451</v>
      </c>
      <c r="AD81" s="115">
        <v>0</v>
      </c>
      <c r="AE81" s="115">
        <v>139349</v>
      </c>
      <c r="AF81" s="115">
        <v>0</v>
      </c>
      <c r="AG81" s="115">
        <v>270190.82999999996</v>
      </c>
      <c r="AH81" s="115">
        <v>61829.84</v>
      </c>
      <c r="AI81" s="275">
        <v>175000</v>
      </c>
      <c r="AJ81" s="275">
        <v>250000</v>
      </c>
      <c r="AK81" s="275">
        <v>300000</v>
      </c>
      <c r="AL81" s="275">
        <v>300000</v>
      </c>
      <c r="AM81" s="275">
        <v>181059.17</v>
      </c>
      <c r="AN81" s="58"/>
      <c r="AO81" s="58"/>
      <c r="AP81" s="58"/>
      <c r="AQ81" s="58"/>
      <c r="AR81" s="58"/>
      <c r="AS81" s="58"/>
      <c r="AT81" s="58"/>
      <c r="AU81" s="58"/>
      <c r="AV81" s="58"/>
      <c r="AW81" s="47"/>
      <c r="AX81" s="53">
        <f t="shared" si="21"/>
        <v>1796879.8399999999</v>
      </c>
      <c r="AY81" s="51"/>
      <c r="AZ81" s="359">
        <f t="shared" si="22"/>
        <v>-113170.16000000015</v>
      </c>
      <c r="BB81" s="55"/>
    </row>
    <row r="82" spans="1:54" s="36" customFormat="1" ht="15.75" x14ac:dyDescent="0.25">
      <c r="A82" s="374" t="s">
        <v>153</v>
      </c>
      <c r="B82" s="374" t="s">
        <v>424</v>
      </c>
      <c r="C82" s="52" t="s">
        <v>563</v>
      </c>
      <c r="D82" s="52" t="s">
        <v>704</v>
      </c>
      <c r="E82" s="389" t="s">
        <v>710</v>
      </c>
      <c r="F82" s="52" t="s">
        <v>623</v>
      </c>
      <c r="G82" s="52" t="s">
        <v>320</v>
      </c>
      <c r="H82" s="52" t="s">
        <v>370</v>
      </c>
      <c r="I82" s="87">
        <v>44551</v>
      </c>
      <c r="J82" s="329">
        <v>44543</v>
      </c>
      <c r="K82" s="87"/>
      <c r="L82" s="52">
        <v>44588</v>
      </c>
      <c r="M82" s="52"/>
      <c r="N82" s="50">
        <f t="shared" si="23"/>
        <v>45</v>
      </c>
      <c r="O82" s="52" t="s">
        <v>320</v>
      </c>
      <c r="P82" s="276">
        <v>44627</v>
      </c>
      <c r="Q82" s="52">
        <v>44715</v>
      </c>
      <c r="R82" s="52"/>
      <c r="S82" s="50">
        <f t="shared" si="20"/>
        <v>2.9235880398671097</v>
      </c>
      <c r="T82" s="50"/>
      <c r="U82" s="50"/>
      <c r="V82" s="182">
        <v>288979</v>
      </c>
      <c r="W82" s="115">
        <v>0</v>
      </c>
      <c r="X82" s="115">
        <v>0</v>
      </c>
      <c r="Y82" s="115">
        <v>0</v>
      </c>
      <c r="Z82" s="115">
        <v>0</v>
      </c>
      <c r="AA82" s="115">
        <v>0</v>
      </c>
      <c r="AB82" s="115">
        <v>0</v>
      </c>
      <c r="AC82" s="115">
        <f>7826</f>
        <v>7826</v>
      </c>
      <c r="AD82" s="115">
        <v>0</v>
      </c>
      <c r="AE82" s="115">
        <v>9711</v>
      </c>
      <c r="AF82" s="115">
        <v>0</v>
      </c>
      <c r="AG82" s="115">
        <v>0</v>
      </c>
      <c r="AH82" s="115">
        <v>0</v>
      </c>
      <c r="AI82" s="275">
        <v>20000</v>
      </c>
      <c r="AJ82" s="275">
        <v>60000</v>
      </c>
      <c r="AK82" s="275">
        <v>60000</v>
      </c>
      <c r="AL82" s="275">
        <v>60000</v>
      </c>
      <c r="AM82" s="275">
        <v>37442</v>
      </c>
      <c r="AN82" s="58"/>
      <c r="AO82" s="58"/>
      <c r="AP82" s="58"/>
      <c r="AQ82" s="58"/>
      <c r="AR82" s="58"/>
      <c r="AS82" s="58"/>
      <c r="AT82" s="58"/>
      <c r="AU82" s="58"/>
      <c r="AV82" s="53"/>
      <c r="AW82" s="47"/>
      <c r="AX82" s="53">
        <f t="shared" si="21"/>
        <v>254979</v>
      </c>
      <c r="AY82" s="51"/>
      <c r="AZ82" s="359">
        <f t="shared" si="22"/>
        <v>-34000</v>
      </c>
    </row>
    <row r="83" spans="1:54" s="36" customFormat="1" ht="15.75" x14ac:dyDescent="0.25">
      <c r="A83" s="374" t="s">
        <v>155</v>
      </c>
      <c r="B83" s="374" t="s">
        <v>426</v>
      </c>
      <c r="C83" s="394" t="s">
        <v>563</v>
      </c>
      <c r="D83" s="52" t="s">
        <v>704</v>
      </c>
      <c r="E83" s="407" t="s">
        <v>711</v>
      </c>
      <c r="F83" s="52" t="s">
        <v>623</v>
      </c>
      <c r="G83" s="52" t="s">
        <v>320</v>
      </c>
      <c r="H83" s="52" t="s">
        <v>370</v>
      </c>
      <c r="I83" s="87">
        <v>44551</v>
      </c>
      <c r="J83" s="87">
        <v>44551</v>
      </c>
      <c r="K83" s="87"/>
      <c r="L83" s="52">
        <v>44596</v>
      </c>
      <c r="M83" s="52"/>
      <c r="N83" s="50">
        <f t="shared" si="23"/>
        <v>45</v>
      </c>
      <c r="O83" s="52" t="s">
        <v>320</v>
      </c>
      <c r="P83" s="276">
        <v>44627</v>
      </c>
      <c r="Q83" s="52">
        <v>44715</v>
      </c>
      <c r="R83" s="52"/>
      <c r="S83" s="50">
        <f t="shared" si="20"/>
        <v>2.9235880398671097</v>
      </c>
      <c r="T83" s="50"/>
      <c r="U83" s="50"/>
      <c r="V83" s="182">
        <v>366822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15">
        <v>0</v>
      </c>
      <c r="AC83" s="115">
        <f>7716</f>
        <v>7716</v>
      </c>
      <c r="AD83" s="115">
        <v>0</v>
      </c>
      <c r="AE83" s="115">
        <v>12408</v>
      </c>
      <c r="AF83" s="115">
        <v>0</v>
      </c>
      <c r="AG83" s="115">
        <v>0</v>
      </c>
      <c r="AH83" s="115">
        <v>0</v>
      </c>
      <c r="AI83" s="275">
        <v>26000</v>
      </c>
      <c r="AJ83" s="275">
        <v>65000</v>
      </c>
      <c r="AK83" s="275">
        <v>75000</v>
      </c>
      <c r="AL83" s="275">
        <v>75000</v>
      </c>
      <c r="AM83" s="275">
        <v>61698</v>
      </c>
      <c r="AN83" s="58"/>
      <c r="AO83" s="58"/>
      <c r="AP83" s="58"/>
      <c r="AQ83" s="58"/>
      <c r="AR83" s="58"/>
      <c r="AS83" s="58"/>
      <c r="AT83" s="58"/>
      <c r="AU83" s="58"/>
      <c r="AV83" s="53"/>
      <c r="AW83" s="47"/>
      <c r="AX83" s="53">
        <f t="shared" si="21"/>
        <v>322822</v>
      </c>
      <c r="AY83" s="51"/>
      <c r="AZ83" s="359">
        <f t="shared" si="22"/>
        <v>-44000</v>
      </c>
    </row>
    <row r="84" spans="1:54" s="36" customFormat="1" ht="15.75" x14ac:dyDescent="0.25">
      <c r="A84" s="99"/>
      <c r="B84" s="100"/>
      <c r="C84" s="91"/>
      <c r="D84" s="91"/>
      <c r="E84" s="100"/>
      <c r="F84" s="91"/>
      <c r="G84" s="91"/>
      <c r="H84" s="91"/>
      <c r="I84" s="91"/>
      <c r="J84" s="91"/>
      <c r="K84" s="91"/>
      <c r="L84" s="91"/>
      <c r="M84" s="91"/>
      <c r="N84" s="92"/>
      <c r="O84" s="91"/>
      <c r="P84" s="91"/>
      <c r="Q84" s="91"/>
      <c r="R84" s="91"/>
      <c r="S84" s="91"/>
      <c r="T84" s="92"/>
      <c r="U84" s="92"/>
      <c r="V84" s="243">
        <f t="shared" ref="V84:AV84" si="24">SUM(V68:V83)</f>
        <v>3386235</v>
      </c>
      <c r="W84" s="59">
        <f t="shared" si="24"/>
        <v>0</v>
      </c>
      <c r="X84" s="59">
        <f t="shared" si="24"/>
        <v>0</v>
      </c>
      <c r="Y84" s="59">
        <f t="shared" si="24"/>
        <v>0</v>
      </c>
      <c r="Z84" s="59">
        <f t="shared" si="24"/>
        <v>0</v>
      </c>
      <c r="AA84" s="59">
        <f t="shared" si="24"/>
        <v>0</v>
      </c>
      <c r="AB84" s="59">
        <f t="shared" si="24"/>
        <v>0</v>
      </c>
      <c r="AC84" s="59">
        <f t="shared" si="24"/>
        <v>254115</v>
      </c>
      <c r="AD84" s="59">
        <f t="shared" si="24"/>
        <v>324252</v>
      </c>
      <c r="AE84" s="59">
        <f t="shared" si="24"/>
        <v>392112</v>
      </c>
      <c r="AF84" s="59">
        <f t="shared" si="24"/>
        <v>13768.89</v>
      </c>
      <c r="AG84" s="59">
        <f t="shared" si="24"/>
        <v>283837.17999999993</v>
      </c>
      <c r="AH84" s="59">
        <f>SUM(AH68:AH83)</f>
        <v>101477.97</v>
      </c>
      <c r="AI84" s="59">
        <f t="shared" si="24"/>
        <v>221000</v>
      </c>
      <c r="AJ84" s="59">
        <f t="shared" si="24"/>
        <v>493950.76</v>
      </c>
      <c r="AK84" s="59">
        <f t="shared" si="24"/>
        <v>435000</v>
      </c>
      <c r="AL84" s="59">
        <f t="shared" si="24"/>
        <v>435000</v>
      </c>
      <c r="AM84" s="59">
        <f t="shared" si="24"/>
        <v>280199.17000000004</v>
      </c>
      <c r="AN84" s="59">
        <f t="shared" si="24"/>
        <v>0</v>
      </c>
      <c r="AO84" s="59">
        <f t="shared" si="24"/>
        <v>0</v>
      </c>
      <c r="AP84" s="59">
        <f t="shared" si="24"/>
        <v>0</v>
      </c>
      <c r="AQ84" s="59">
        <f t="shared" si="24"/>
        <v>0</v>
      </c>
      <c r="AR84" s="59">
        <f t="shared" si="24"/>
        <v>0</v>
      </c>
      <c r="AS84" s="59">
        <f t="shared" si="24"/>
        <v>0</v>
      </c>
      <c r="AT84" s="59">
        <f t="shared" si="24"/>
        <v>0</v>
      </c>
      <c r="AU84" s="59">
        <f t="shared" si="24"/>
        <v>0</v>
      </c>
      <c r="AV84" s="59">
        <f t="shared" si="24"/>
        <v>0</v>
      </c>
      <c r="AW84" s="47"/>
      <c r="AX84" s="53">
        <f t="shared" si="21"/>
        <v>3234712.9699999997</v>
      </c>
      <c r="AY84" s="51"/>
      <c r="AZ84" s="359">
        <f t="shared" si="22"/>
        <v>-151522.03000000026</v>
      </c>
    </row>
    <row r="85" spans="1:54" s="36" customFormat="1" ht="15.75" x14ac:dyDescent="0.25">
      <c r="A85" s="381" t="s">
        <v>667</v>
      </c>
      <c r="B85" s="106"/>
      <c r="C85" s="102" t="s">
        <v>664</v>
      </c>
      <c r="D85" s="102"/>
      <c r="E85" s="106"/>
      <c r="F85" s="102"/>
      <c r="G85" s="102"/>
      <c r="H85" s="102"/>
      <c r="I85" s="102"/>
      <c r="J85" s="276"/>
      <c r="K85" s="276"/>
      <c r="L85" s="276"/>
      <c r="M85" s="276"/>
      <c r="N85" s="84"/>
      <c r="O85" s="102"/>
      <c r="P85" s="102"/>
      <c r="Q85" s="102"/>
      <c r="R85" s="102"/>
      <c r="S85" s="102"/>
      <c r="T85" s="102"/>
      <c r="U85" s="102"/>
      <c r="V85" s="102"/>
      <c r="W85" s="85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47"/>
      <c r="AX85" s="85"/>
      <c r="AY85" s="51"/>
      <c r="AZ85" s="359">
        <f t="shared" si="22"/>
        <v>0</v>
      </c>
      <c r="BB85" s="55"/>
    </row>
    <row r="86" spans="1:54" s="36" customFormat="1" ht="15.75" x14ac:dyDescent="0.25">
      <c r="A86" s="374" t="s">
        <v>224</v>
      </c>
      <c r="B86" s="374" t="s">
        <v>680</v>
      </c>
      <c r="C86" s="406" t="s">
        <v>664</v>
      </c>
      <c r="D86" s="52" t="s">
        <v>665</v>
      </c>
      <c r="E86" s="390" t="s">
        <v>689</v>
      </c>
      <c r="F86" s="52" t="s">
        <v>46</v>
      </c>
      <c r="G86" s="52" t="s">
        <v>370</v>
      </c>
      <c r="H86" s="52" t="s">
        <v>370</v>
      </c>
      <c r="I86" s="87"/>
      <c r="J86" s="330">
        <v>44365</v>
      </c>
      <c r="K86" s="330"/>
      <c r="L86" s="329">
        <v>44489</v>
      </c>
      <c r="M86" s="329"/>
      <c r="N86" s="333">
        <f>L86-J86</f>
        <v>124</v>
      </c>
      <c r="O86" s="52" t="s">
        <v>370</v>
      </c>
      <c r="P86" s="377">
        <f>L86+15</f>
        <v>44504</v>
      </c>
      <c r="Q86" s="52">
        <v>44286</v>
      </c>
      <c r="R86" s="52"/>
      <c r="S86" s="88">
        <f>((Q86-P86)/7)/4.3</f>
        <v>-7.2425249169435215</v>
      </c>
      <c r="T86" s="88"/>
      <c r="U86" s="88"/>
      <c r="V86" s="53">
        <v>2015533</v>
      </c>
      <c r="W86" s="115">
        <v>0</v>
      </c>
      <c r="X86" s="115">
        <v>0</v>
      </c>
      <c r="Y86" s="115">
        <v>0</v>
      </c>
      <c r="Z86" s="115">
        <v>0</v>
      </c>
      <c r="AA86" s="115">
        <v>0</v>
      </c>
      <c r="AB86" s="115">
        <v>0</v>
      </c>
      <c r="AC86" s="115">
        <v>0</v>
      </c>
      <c r="AD86" s="115">
        <v>0</v>
      </c>
      <c r="AE86" s="115">
        <v>141412</v>
      </c>
      <c r="AF86" s="115">
        <v>0</v>
      </c>
      <c r="AG86" s="115">
        <v>0</v>
      </c>
      <c r="AH86" s="115">
        <v>146485.79999999999</v>
      </c>
      <c r="AI86" s="275">
        <v>300000</v>
      </c>
      <c r="AJ86" s="275">
        <v>300000</v>
      </c>
      <c r="AK86" s="275">
        <v>300000</v>
      </c>
      <c r="AL86" s="275">
        <v>300000</v>
      </c>
      <c r="AM86" s="275">
        <v>300000</v>
      </c>
      <c r="AN86" s="275">
        <v>74121</v>
      </c>
      <c r="AO86" s="58"/>
      <c r="AP86" s="58"/>
      <c r="AQ86" s="58"/>
      <c r="AR86" s="58"/>
      <c r="AS86" s="58"/>
      <c r="AT86" s="58"/>
      <c r="AU86" s="58"/>
      <c r="AV86" s="53"/>
      <c r="AW86" s="47"/>
      <c r="AX86" s="53">
        <f>SUM(W86:AW86)</f>
        <v>1862018.8</v>
      </c>
      <c r="AY86" s="51"/>
      <c r="AZ86" s="359">
        <f t="shared" si="22"/>
        <v>-153514.19999999995</v>
      </c>
    </row>
    <row r="87" spans="1:54" s="36" customFormat="1" ht="15.75" x14ac:dyDescent="0.25">
      <c r="A87" s="99"/>
      <c r="B87" s="100"/>
      <c r="C87" s="91"/>
      <c r="D87" s="91"/>
      <c r="E87" s="100"/>
      <c r="F87" s="91"/>
      <c r="G87" s="91"/>
      <c r="H87" s="91"/>
      <c r="I87" s="91"/>
      <c r="J87" s="91"/>
      <c r="K87" s="91"/>
      <c r="L87" s="91"/>
      <c r="M87" s="91"/>
      <c r="N87" s="92"/>
      <c r="O87" s="91"/>
      <c r="P87" s="91"/>
      <c r="Q87" s="91"/>
      <c r="R87" s="91"/>
      <c r="S87" s="91"/>
      <c r="T87" s="92"/>
      <c r="U87" s="92"/>
      <c r="V87" s="243">
        <f t="shared" ref="V87:AV87" si="25">SUM(V86)</f>
        <v>2015533</v>
      </c>
      <c r="W87" s="59">
        <f t="shared" si="25"/>
        <v>0</v>
      </c>
      <c r="X87" s="59">
        <f t="shared" si="25"/>
        <v>0</v>
      </c>
      <c r="Y87" s="59">
        <f t="shared" si="25"/>
        <v>0</v>
      </c>
      <c r="Z87" s="59">
        <f t="shared" si="25"/>
        <v>0</v>
      </c>
      <c r="AA87" s="59">
        <f t="shared" si="25"/>
        <v>0</v>
      </c>
      <c r="AB87" s="59">
        <f t="shared" si="25"/>
        <v>0</v>
      </c>
      <c r="AC87" s="59">
        <f t="shared" si="25"/>
        <v>0</v>
      </c>
      <c r="AD87" s="59">
        <f t="shared" si="25"/>
        <v>0</v>
      </c>
      <c r="AE87" s="59">
        <f t="shared" si="25"/>
        <v>141412</v>
      </c>
      <c r="AF87" s="59">
        <f t="shared" si="25"/>
        <v>0</v>
      </c>
      <c r="AG87" s="59">
        <f t="shared" si="25"/>
        <v>0</v>
      </c>
      <c r="AH87" s="59">
        <f>SUM(AH86)</f>
        <v>146485.79999999999</v>
      </c>
      <c r="AI87" s="59">
        <f t="shared" si="25"/>
        <v>300000</v>
      </c>
      <c r="AJ87" s="59">
        <f t="shared" si="25"/>
        <v>300000</v>
      </c>
      <c r="AK87" s="59">
        <f t="shared" si="25"/>
        <v>300000</v>
      </c>
      <c r="AL87" s="59">
        <f t="shared" si="25"/>
        <v>300000</v>
      </c>
      <c r="AM87" s="59">
        <f t="shared" si="25"/>
        <v>300000</v>
      </c>
      <c r="AN87" s="59">
        <f t="shared" si="25"/>
        <v>74121</v>
      </c>
      <c r="AO87" s="59">
        <f t="shared" si="25"/>
        <v>0</v>
      </c>
      <c r="AP87" s="59">
        <f t="shared" si="25"/>
        <v>0</v>
      </c>
      <c r="AQ87" s="59">
        <f t="shared" si="25"/>
        <v>0</v>
      </c>
      <c r="AR87" s="59">
        <f t="shared" si="25"/>
        <v>0</v>
      </c>
      <c r="AS87" s="59">
        <f t="shared" si="25"/>
        <v>0</v>
      </c>
      <c r="AT87" s="59">
        <f t="shared" si="25"/>
        <v>0</v>
      </c>
      <c r="AU87" s="59">
        <f t="shared" si="25"/>
        <v>0</v>
      </c>
      <c r="AV87" s="59">
        <f t="shared" si="25"/>
        <v>0</v>
      </c>
      <c r="AW87" s="47"/>
      <c r="AX87" s="53">
        <f>SUM(W87:AW87)</f>
        <v>1862018.8</v>
      </c>
      <c r="AY87" s="51"/>
      <c r="AZ87" s="359">
        <f t="shared" si="22"/>
        <v>-153514.19999999995</v>
      </c>
    </row>
    <row r="88" spans="1:54" s="36" customFormat="1" ht="15.75" x14ac:dyDescent="0.25">
      <c r="A88" s="381" t="s">
        <v>623</v>
      </c>
      <c r="B88" s="106"/>
      <c r="C88" s="102"/>
      <c r="D88" s="102"/>
      <c r="E88" s="106"/>
      <c r="F88" s="102"/>
      <c r="G88" s="102"/>
      <c r="H88" s="102"/>
      <c r="I88" s="102"/>
      <c r="J88" s="276"/>
      <c r="K88" s="276"/>
      <c r="L88" s="276"/>
      <c r="M88" s="276"/>
      <c r="N88" s="84"/>
      <c r="O88" s="102"/>
      <c r="P88" s="102"/>
      <c r="Q88" s="102"/>
      <c r="R88" s="102"/>
      <c r="S88" s="102"/>
      <c r="T88" s="102"/>
      <c r="U88" s="102"/>
      <c r="V88" s="102"/>
      <c r="W88" s="85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47"/>
      <c r="AX88" s="85"/>
      <c r="AY88" s="51"/>
      <c r="AZ88" s="359">
        <f t="shared" si="22"/>
        <v>0</v>
      </c>
    </row>
    <row r="89" spans="1:54" s="36" customFormat="1" ht="15.75" x14ac:dyDescent="0.25">
      <c r="A89" s="374" t="s">
        <v>541</v>
      </c>
      <c r="B89" s="375" t="s">
        <v>542</v>
      </c>
      <c r="C89" s="52" t="s">
        <v>368</v>
      </c>
      <c r="D89" s="52" t="s">
        <v>402</v>
      </c>
      <c r="E89" s="114" t="s">
        <v>643</v>
      </c>
      <c r="F89" s="52" t="s">
        <v>623</v>
      </c>
      <c r="G89" s="52" t="s">
        <v>320</v>
      </c>
      <c r="H89" s="52">
        <v>44512</v>
      </c>
      <c r="I89" s="87"/>
      <c r="J89" s="329">
        <v>44512</v>
      </c>
      <c r="K89" s="87"/>
      <c r="L89" s="52">
        <v>44567</v>
      </c>
      <c r="M89" s="52"/>
      <c r="N89" s="50">
        <f t="shared" ref="N89:N110" si="26">L89-J89</f>
        <v>55</v>
      </c>
      <c r="O89" s="52" t="s">
        <v>320</v>
      </c>
      <c r="P89" s="376">
        <v>44578</v>
      </c>
      <c r="Q89" s="52">
        <f>P89+(9*7*4.3)</f>
        <v>44848.9</v>
      </c>
      <c r="R89" s="52"/>
      <c r="S89" s="50">
        <f t="shared" ref="S89:S132" si="27">((Q89-P89)/7)/4.3</f>
        <v>9.0000000000000497</v>
      </c>
      <c r="T89" s="50"/>
      <c r="U89" s="50"/>
      <c r="V89" s="53">
        <v>1900000</v>
      </c>
      <c r="W89" s="115">
        <v>0</v>
      </c>
      <c r="X89" s="115">
        <v>0</v>
      </c>
      <c r="Y89" s="115">
        <v>0</v>
      </c>
      <c r="Z89" s="115">
        <v>0</v>
      </c>
      <c r="AA89" s="115">
        <v>0</v>
      </c>
      <c r="AB89" s="115">
        <v>0</v>
      </c>
      <c r="AC89" s="115">
        <v>0</v>
      </c>
      <c r="AD89" s="115">
        <v>0</v>
      </c>
      <c r="AE89" s="115">
        <v>0</v>
      </c>
      <c r="AF89" s="115">
        <v>0</v>
      </c>
      <c r="AG89" s="115">
        <v>0</v>
      </c>
      <c r="AH89" s="115">
        <v>0</v>
      </c>
      <c r="AI89" s="275">
        <v>100000</v>
      </c>
      <c r="AJ89" s="275">
        <v>200000</v>
      </c>
      <c r="AK89" s="275">
        <v>200000</v>
      </c>
      <c r="AL89" s="275">
        <v>200000</v>
      </c>
      <c r="AM89" s="275">
        <v>200000</v>
      </c>
      <c r="AN89" s="275">
        <v>200000</v>
      </c>
      <c r="AO89" s="275">
        <v>200000</v>
      </c>
      <c r="AP89" s="275">
        <v>200000</v>
      </c>
      <c r="AQ89" s="275">
        <v>200000</v>
      </c>
      <c r="AR89" s="275">
        <v>200000</v>
      </c>
      <c r="AS89" s="58"/>
      <c r="AT89" s="58"/>
      <c r="AU89" s="58"/>
      <c r="AV89" s="53"/>
      <c r="AW89" s="47"/>
      <c r="AX89" s="53">
        <f t="shared" ref="AX89:AX102" si="28">SUM(W89:AW89)</f>
        <v>1900000</v>
      </c>
      <c r="AY89" s="51"/>
      <c r="AZ89" s="359">
        <f t="shared" si="22"/>
        <v>0</v>
      </c>
    </row>
    <row r="90" spans="1:54" s="36" customFormat="1" ht="15.75" x14ac:dyDescent="0.25">
      <c r="A90" s="179" t="s">
        <v>191</v>
      </c>
      <c r="B90" s="180" t="s">
        <v>192</v>
      </c>
      <c r="C90" s="52" t="s">
        <v>45</v>
      </c>
      <c r="D90" s="52" t="s">
        <v>45</v>
      </c>
      <c r="E90" s="113" t="s">
        <v>193</v>
      </c>
      <c r="F90" s="52" t="s">
        <v>623</v>
      </c>
      <c r="G90" s="52"/>
      <c r="H90" s="276" t="s">
        <v>320</v>
      </c>
      <c r="I90" s="87"/>
      <c r="J90" s="299">
        <v>44564</v>
      </c>
      <c r="K90" s="299"/>
      <c r="L90" s="52">
        <f t="shared" ref="L90:L97" si="29">J90+45</f>
        <v>44609</v>
      </c>
      <c r="M90" s="52"/>
      <c r="N90" s="50">
        <f t="shared" si="26"/>
        <v>45</v>
      </c>
      <c r="O90" s="52" t="s">
        <v>320</v>
      </c>
      <c r="P90" s="52">
        <f t="shared" ref="P90:P97" si="30">L90+30</f>
        <v>44639</v>
      </c>
      <c r="Q90" s="52">
        <f>P90+(12*4.3*7)</f>
        <v>45000.2</v>
      </c>
      <c r="R90" s="52"/>
      <c r="S90" s="50">
        <f t="shared" si="27"/>
        <v>11.999999999999904</v>
      </c>
      <c r="T90" s="50"/>
      <c r="U90" s="50"/>
      <c r="V90" s="53">
        <v>4000000</v>
      </c>
      <c r="W90" s="115">
        <v>0</v>
      </c>
      <c r="X90" s="115">
        <v>0</v>
      </c>
      <c r="Y90" s="115">
        <v>0</v>
      </c>
      <c r="Z90" s="115">
        <v>0</v>
      </c>
      <c r="AA90" s="115">
        <v>0</v>
      </c>
      <c r="AB90" s="115">
        <v>0</v>
      </c>
      <c r="AC90" s="115">
        <v>0</v>
      </c>
      <c r="AD90" s="115">
        <v>0</v>
      </c>
      <c r="AE90" s="115">
        <v>0</v>
      </c>
      <c r="AF90" s="115">
        <v>0</v>
      </c>
      <c r="AG90" s="115">
        <v>0</v>
      </c>
      <c r="AH90" s="115">
        <v>0</v>
      </c>
      <c r="AI90" s="58"/>
      <c r="AJ90" s="58"/>
      <c r="AK90" s="58"/>
      <c r="AL90" s="275">
        <v>200000</v>
      </c>
      <c r="AM90" s="275">
        <v>250000</v>
      </c>
      <c r="AN90" s="275">
        <v>340000</v>
      </c>
      <c r="AO90" s="275">
        <v>340000</v>
      </c>
      <c r="AP90" s="275">
        <v>340000</v>
      </c>
      <c r="AQ90" s="275">
        <v>340000</v>
      </c>
      <c r="AR90" s="275">
        <v>340000</v>
      </c>
      <c r="AS90" s="275">
        <v>340000</v>
      </c>
      <c r="AT90" s="275">
        <v>340000</v>
      </c>
      <c r="AU90" s="275">
        <v>340000</v>
      </c>
      <c r="AV90" s="275">
        <v>830000</v>
      </c>
      <c r="AW90" s="47"/>
      <c r="AX90" s="53">
        <f t="shared" si="28"/>
        <v>4000000</v>
      </c>
      <c r="AY90" s="51"/>
      <c r="AZ90" s="359">
        <f t="shared" si="22"/>
        <v>0</v>
      </c>
    </row>
    <row r="91" spans="1:54" s="36" customFormat="1" ht="15.75" x14ac:dyDescent="0.25">
      <c r="A91" s="179" t="s">
        <v>194</v>
      </c>
      <c r="B91" s="180" t="s">
        <v>609</v>
      </c>
      <c r="C91" s="52" t="s">
        <v>45</v>
      </c>
      <c r="D91" s="52" t="s">
        <v>45</v>
      </c>
      <c r="E91" s="63" t="s">
        <v>196</v>
      </c>
      <c r="F91" s="52" t="s">
        <v>623</v>
      </c>
      <c r="G91" s="52"/>
      <c r="H91" s="52" t="s">
        <v>370</v>
      </c>
      <c r="I91" s="87"/>
      <c r="J91" s="299">
        <v>44564</v>
      </c>
      <c r="K91" s="299"/>
      <c r="L91" s="52">
        <f t="shared" si="29"/>
        <v>44609</v>
      </c>
      <c r="M91" s="52"/>
      <c r="N91" s="50">
        <f t="shared" si="26"/>
        <v>45</v>
      </c>
      <c r="O91" s="52" t="s">
        <v>320</v>
      </c>
      <c r="P91" s="52">
        <f t="shared" si="30"/>
        <v>44639</v>
      </c>
      <c r="Q91" s="52">
        <f>P91+(9*4.3*7)</f>
        <v>44909.9</v>
      </c>
      <c r="R91" s="52"/>
      <c r="S91" s="50">
        <f t="shared" si="27"/>
        <v>9.0000000000000497</v>
      </c>
      <c r="T91" s="50"/>
      <c r="U91" s="50"/>
      <c r="V91" s="53">
        <v>2200000</v>
      </c>
      <c r="W91" s="115">
        <v>0</v>
      </c>
      <c r="X91" s="115">
        <v>0</v>
      </c>
      <c r="Y91" s="115">
        <v>0</v>
      </c>
      <c r="Z91" s="115">
        <v>0</v>
      </c>
      <c r="AA91" s="115">
        <v>0</v>
      </c>
      <c r="AB91" s="115">
        <v>0</v>
      </c>
      <c r="AC91" s="115">
        <v>0</v>
      </c>
      <c r="AD91" s="115">
        <v>0</v>
      </c>
      <c r="AE91" s="115">
        <v>0</v>
      </c>
      <c r="AF91" s="115">
        <v>0</v>
      </c>
      <c r="AG91" s="115">
        <v>0</v>
      </c>
      <c r="AH91" s="115">
        <v>0</v>
      </c>
      <c r="AI91" s="53"/>
      <c r="AJ91" s="58"/>
      <c r="AK91" s="58"/>
      <c r="AL91" s="275">
        <v>150000</v>
      </c>
      <c r="AM91" s="275">
        <v>200000</v>
      </c>
      <c r="AN91" s="275">
        <v>260000</v>
      </c>
      <c r="AO91" s="275">
        <v>260000</v>
      </c>
      <c r="AP91" s="275">
        <v>300000</v>
      </c>
      <c r="AQ91" s="275">
        <v>300000</v>
      </c>
      <c r="AR91" s="275">
        <v>260000</v>
      </c>
      <c r="AS91" s="275">
        <v>260000</v>
      </c>
      <c r="AT91" s="275">
        <v>210000</v>
      </c>
      <c r="AU91" s="58"/>
      <c r="AV91" s="58"/>
      <c r="AW91" s="47"/>
      <c r="AX91" s="53">
        <f t="shared" si="28"/>
        <v>2200000</v>
      </c>
      <c r="AY91" s="51"/>
      <c r="AZ91" s="359">
        <f t="shared" si="22"/>
        <v>0</v>
      </c>
    </row>
    <row r="92" spans="1:54" s="36" customFormat="1" ht="15.75" x14ac:dyDescent="0.25">
      <c r="A92" s="113" t="s">
        <v>647</v>
      </c>
      <c r="B92" s="114" t="s">
        <v>604</v>
      </c>
      <c r="C92" s="52" t="s">
        <v>568</v>
      </c>
      <c r="D92" s="52" t="s">
        <v>630</v>
      </c>
      <c r="E92" s="114" t="s">
        <v>684</v>
      </c>
      <c r="F92" s="52" t="s">
        <v>623</v>
      </c>
      <c r="G92" s="52"/>
      <c r="H92" s="276" t="s">
        <v>320</v>
      </c>
      <c r="I92" s="87"/>
      <c r="J92" s="52">
        <v>44564</v>
      </c>
      <c r="K92" s="52"/>
      <c r="L92" s="52">
        <f t="shared" si="29"/>
        <v>44609</v>
      </c>
      <c r="M92" s="52"/>
      <c r="N92" s="50">
        <f t="shared" si="26"/>
        <v>45</v>
      </c>
      <c r="O92" s="52" t="s">
        <v>320</v>
      </c>
      <c r="P92" s="52">
        <f t="shared" si="30"/>
        <v>44639</v>
      </c>
      <c r="Q92" s="52">
        <f>P92+(9*4.3*7)</f>
        <v>44909.9</v>
      </c>
      <c r="R92" s="52"/>
      <c r="S92" s="50">
        <f t="shared" si="27"/>
        <v>9.0000000000000497</v>
      </c>
      <c r="T92" s="50"/>
      <c r="U92" s="50"/>
      <c r="V92" s="189">
        <v>980000</v>
      </c>
      <c r="W92" s="115">
        <v>0</v>
      </c>
      <c r="X92" s="115">
        <v>0</v>
      </c>
      <c r="Y92" s="115">
        <v>0</v>
      </c>
      <c r="Z92" s="115">
        <v>0</v>
      </c>
      <c r="AA92" s="115">
        <v>0</v>
      </c>
      <c r="AB92" s="115">
        <v>0</v>
      </c>
      <c r="AC92" s="115">
        <v>0</v>
      </c>
      <c r="AD92" s="115">
        <v>0</v>
      </c>
      <c r="AE92" s="115">
        <v>0</v>
      </c>
      <c r="AF92" s="115">
        <v>0</v>
      </c>
      <c r="AG92" s="115">
        <v>0</v>
      </c>
      <c r="AH92" s="115">
        <v>0</v>
      </c>
      <c r="AI92" s="53"/>
      <c r="AJ92" s="58"/>
      <c r="AK92" s="58"/>
      <c r="AL92" s="275">
        <v>50000</v>
      </c>
      <c r="AM92" s="275">
        <v>100000</v>
      </c>
      <c r="AN92" s="275">
        <v>125000</v>
      </c>
      <c r="AO92" s="275">
        <v>150000</v>
      </c>
      <c r="AP92" s="275">
        <v>200000</v>
      </c>
      <c r="AQ92" s="275">
        <v>200000</v>
      </c>
      <c r="AR92" s="275">
        <v>155000</v>
      </c>
      <c r="AS92" s="58"/>
      <c r="AT92" s="58"/>
      <c r="AU92" s="58"/>
      <c r="AV92" s="58"/>
      <c r="AW92" s="47"/>
      <c r="AX92" s="53">
        <f t="shared" si="28"/>
        <v>980000</v>
      </c>
      <c r="AY92" s="51"/>
      <c r="AZ92" s="359">
        <f t="shared" si="22"/>
        <v>0</v>
      </c>
    </row>
    <row r="93" spans="1:54" s="36" customFormat="1" ht="15.75" x14ac:dyDescent="0.25">
      <c r="A93" s="113" t="s">
        <v>648</v>
      </c>
      <c r="B93" s="113" t="s">
        <v>605</v>
      </c>
      <c r="C93" s="52" t="s">
        <v>568</v>
      </c>
      <c r="D93" s="52" t="s">
        <v>630</v>
      </c>
      <c r="E93" s="113" t="s">
        <v>684</v>
      </c>
      <c r="F93" s="52" t="s">
        <v>623</v>
      </c>
      <c r="G93" s="52"/>
      <c r="H93" s="276" t="s">
        <v>320</v>
      </c>
      <c r="I93" s="87"/>
      <c r="J93" s="52">
        <v>44564</v>
      </c>
      <c r="K93" s="52"/>
      <c r="L93" s="52">
        <f t="shared" si="29"/>
        <v>44609</v>
      </c>
      <c r="M93" s="52"/>
      <c r="N93" s="50">
        <f t="shared" si="26"/>
        <v>45</v>
      </c>
      <c r="O93" s="52" t="s">
        <v>320</v>
      </c>
      <c r="P93" s="52">
        <f t="shared" si="30"/>
        <v>44639</v>
      </c>
      <c r="Q93" s="52">
        <f>P93+(9*4.3*7)</f>
        <v>44909.9</v>
      </c>
      <c r="R93" s="52"/>
      <c r="S93" s="50">
        <f t="shared" si="27"/>
        <v>9.0000000000000497</v>
      </c>
      <c r="T93" s="50"/>
      <c r="U93" s="50"/>
      <c r="V93" s="189">
        <v>1558000</v>
      </c>
      <c r="W93" s="115">
        <v>0</v>
      </c>
      <c r="X93" s="115">
        <v>0</v>
      </c>
      <c r="Y93" s="115">
        <v>0</v>
      </c>
      <c r="Z93" s="115">
        <v>0</v>
      </c>
      <c r="AA93" s="115">
        <v>0</v>
      </c>
      <c r="AB93" s="115">
        <v>0</v>
      </c>
      <c r="AC93" s="115">
        <v>0</v>
      </c>
      <c r="AD93" s="115">
        <v>0</v>
      </c>
      <c r="AE93" s="115">
        <v>0</v>
      </c>
      <c r="AF93" s="115">
        <v>0</v>
      </c>
      <c r="AG93" s="115">
        <v>0</v>
      </c>
      <c r="AH93" s="115">
        <v>0</v>
      </c>
      <c r="AI93" s="53"/>
      <c r="AJ93" s="58"/>
      <c r="AK93" s="58"/>
      <c r="AL93" s="275">
        <v>50000</v>
      </c>
      <c r="AM93" s="275">
        <v>125000</v>
      </c>
      <c r="AN93" s="275">
        <v>225000</v>
      </c>
      <c r="AO93" s="275">
        <v>300000</v>
      </c>
      <c r="AP93" s="275">
        <v>300000</v>
      </c>
      <c r="AQ93" s="275">
        <v>300000</v>
      </c>
      <c r="AR93" s="275">
        <v>258000</v>
      </c>
      <c r="AS93" s="58"/>
      <c r="AT93" s="58"/>
      <c r="AU93" s="58"/>
      <c r="AV93" s="58"/>
      <c r="AW93" s="47"/>
      <c r="AX93" s="53">
        <f t="shared" si="28"/>
        <v>1558000</v>
      </c>
      <c r="AY93" s="51"/>
      <c r="AZ93" s="359">
        <f t="shared" si="22"/>
        <v>0</v>
      </c>
      <c r="BB93" s="55"/>
    </row>
    <row r="94" spans="1:54" s="36" customFormat="1" ht="15.75" x14ac:dyDescent="0.25">
      <c r="A94" s="179" t="s">
        <v>649</v>
      </c>
      <c r="B94" s="180" t="s">
        <v>606</v>
      </c>
      <c r="C94" s="52" t="s">
        <v>762</v>
      </c>
      <c r="D94" s="52" t="s">
        <v>777</v>
      </c>
      <c r="E94" s="180" t="s">
        <v>684</v>
      </c>
      <c r="F94" s="52" t="s">
        <v>623</v>
      </c>
      <c r="G94" s="52"/>
      <c r="H94" s="276" t="s">
        <v>320</v>
      </c>
      <c r="I94" s="87"/>
      <c r="J94" s="87">
        <v>44519</v>
      </c>
      <c r="K94" s="87"/>
      <c r="L94" s="52">
        <f t="shared" si="29"/>
        <v>44564</v>
      </c>
      <c r="M94" s="52"/>
      <c r="N94" s="50">
        <f t="shared" si="26"/>
        <v>45</v>
      </c>
      <c r="O94" s="52" t="s">
        <v>320</v>
      </c>
      <c r="P94" s="52">
        <f t="shared" si="30"/>
        <v>44594</v>
      </c>
      <c r="Q94" s="52">
        <f>P94+(6*4.3*7)</f>
        <v>44774.6</v>
      </c>
      <c r="R94" s="52"/>
      <c r="S94" s="50">
        <f t="shared" si="27"/>
        <v>5.999999999999952</v>
      </c>
      <c r="T94" s="50"/>
      <c r="U94" s="50"/>
      <c r="V94" s="189">
        <v>540000</v>
      </c>
      <c r="W94" s="115">
        <v>0</v>
      </c>
      <c r="X94" s="115">
        <v>0</v>
      </c>
      <c r="Y94" s="115">
        <v>0</v>
      </c>
      <c r="Z94" s="115">
        <v>0</v>
      </c>
      <c r="AA94" s="115">
        <v>0</v>
      </c>
      <c r="AB94" s="115">
        <v>0</v>
      </c>
      <c r="AC94" s="115">
        <v>0</v>
      </c>
      <c r="AD94" s="115">
        <v>0</v>
      </c>
      <c r="AE94" s="115">
        <v>0</v>
      </c>
      <c r="AF94" s="115">
        <v>0</v>
      </c>
      <c r="AG94" s="115">
        <v>0</v>
      </c>
      <c r="AH94" s="115">
        <v>0</v>
      </c>
      <c r="AI94" s="53"/>
      <c r="AJ94" s="58"/>
      <c r="AK94" s="58"/>
      <c r="AL94" s="275">
        <v>25000</v>
      </c>
      <c r="AM94" s="275">
        <v>75000</v>
      </c>
      <c r="AN94" s="275">
        <v>90000</v>
      </c>
      <c r="AO94" s="275">
        <v>100000</v>
      </c>
      <c r="AP94" s="275">
        <v>100000</v>
      </c>
      <c r="AQ94" s="275">
        <v>100000</v>
      </c>
      <c r="AR94" s="275">
        <v>50000</v>
      </c>
      <c r="AS94" s="58"/>
      <c r="AT94" s="58"/>
      <c r="AU94" s="58"/>
      <c r="AV94" s="58"/>
      <c r="AW94" s="47"/>
      <c r="AX94" s="53">
        <f t="shared" si="28"/>
        <v>540000</v>
      </c>
      <c r="AY94" s="51"/>
      <c r="AZ94" s="359">
        <f t="shared" si="22"/>
        <v>0</v>
      </c>
      <c r="BB94" s="55"/>
    </row>
    <row r="95" spans="1:54" s="36" customFormat="1" ht="15.75" x14ac:dyDescent="0.25">
      <c r="A95" s="113" t="s">
        <v>650</v>
      </c>
      <c r="B95" s="114" t="s">
        <v>607</v>
      </c>
      <c r="C95" s="52" t="s">
        <v>568</v>
      </c>
      <c r="D95" s="52" t="s">
        <v>630</v>
      </c>
      <c r="E95" s="114" t="s">
        <v>684</v>
      </c>
      <c r="F95" s="52" t="s">
        <v>623</v>
      </c>
      <c r="G95" s="52"/>
      <c r="H95" s="276" t="s">
        <v>320</v>
      </c>
      <c r="I95" s="87"/>
      <c r="J95" s="52">
        <v>44564</v>
      </c>
      <c r="K95" s="52"/>
      <c r="L95" s="52">
        <f t="shared" si="29"/>
        <v>44609</v>
      </c>
      <c r="M95" s="52"/>
      <c r="N95" s="50">
        <f t="shared" si="26"/>
        <v>45</v>
      </c>
      <c r="O95" s="52" t="s">
        <v>320</v>
      </c>
      <c r="P95" s="52">
        <f t="shared" si="30"/>
        <v>44639</v>
      </c>
      <c r="Q95" s="52">
        <f>P95+(6*4.3*7)</f>
        <v>44819.6</v>
      </c>
      <c r="R95" s="52"/>
      <c r="S95" s="50">
        <f t="shared" si="27"/>
        <v>5.999999999999952</v>
      </c>
      <c r="T95" s="50"/>
      <c r="U95" s="50"/>
      <c r="V95" s="189">
        <v>800000</v>
      </c>
      <c r="W95" s="115">
        <v>0</v>
      </c>
      <c r="X95" s="115">
        <v>0</v>
      </c>
      <c r="Y95" s="115">
        <v>0</v>
      </c>
      <c r="Z95" s="115">
        <v>0</v>
      </c>
      <c r="AA95" s="115">
        <v>0</v>
      </c>
      <c r="AB95" s="115">
        <v>0</v>
      </c>
      <c r="AC95" s="115">
        <v>0</v>
      </c>
      <c r="AD95" s="115">
        <v>0</v>
      </c>
      <c r="AE95" s="115">
        <v>0</v>
      </c>
      <c r="AF95" s="115">
        <v>0</v>
      </c>
      <c r="AG95" s="115">
        <v>0</v>
      </c>
      <c r="AH95" s="115">
        <v>0</v>
      </c>
      <c r="AI95" s="53"/>
      <c r="AJ95" s="58"/>
      <c r="AK95" s="58"/>
      <c r="AL95" s="275">
        <v>75000</v>
      </c>
      <c r="AM95" s="275">
        <v>125000</v>
      </c>
      <c r="AN95" s="275">
        <v>125000</v>
      </c>
      <c r="AO95" s="275">
        <v>150000</v>
      </c>
      <c r="AP95" s="275">
        <v>150000</v>
      </c>
      <c r="AQ95" s="275">
        <v>125000</v>
      </c>
      <c r="AR95" s="275">
        <v>50000</v>
      </c>
      <c r="AS95" s="58"/>
      <c r="AT95" s="58"/>
      <c r="AU95" s="58"/>
      <c r="AV95" s="53"/>
      <c r="AW95" s="47"/>
      <c r="AX95" s="53">
        <f t="shared" si="28"/>
        <v>800000</v>
      </c>
      <c r="AY95" s="51"/>
      <c r="AZ95" s="359">
        <f t="shared" si="22"/>
        <v>0</v>
      </c>
    </row>
    <row r="96" spans="1:54" s="36" customFormat="1" ht="15.75" x14ac:dyDescent="0.25">
      <c r="A96" s="113" t="s">
        <v>651</v>
      </c>
      <c r="B96" s="114" t="s">
        <v>608</v>
      </c>
      <c r="C96" s="52" t="s">
        <v>568</v>
      </c>
      <c r="D96" s="52" t="s">
        <v>630</v>
      </c>
      <c r="E96" s="114" t="s">
        <v>684</v>
      </c>
      <c r="F96" s="52" t="s">
        <v>623</v>
      </c>
      <c r="G96" s="52"/>
      <c r="H96" s="276" t="s">
        <v>320</v>
      </c>
      <c r="I96" s="87"/>
      <c r="J96" s="52">
        <v>44564</v>
      </c>
      <c r="K96" s="52"/>
      <c r="L96" s="52">
        <f t="shared" si="29"/>
        <v>44609</v>
      </c>
      <c r="M96" s="52"/>
      <c r="N96" s="50">
        <f t="shared" si="26"/>
        <v>45</v>
      </c>
      <c r="O96" s="52" t="s">
        <v>320</v>
      </c>
      <c r="P96" s="52">
        <f t="shared" si="30"/>
        <v>44639</v>
      </c>
      <c r="Q96" s="52">
        <f>P96+(6*4.3*7)</f>
        <v>44819.6</v>
      </c>
      <c r="R96" s="52"/>
      <c r="S96" s="50">
        <f t="shared" si="27"/>
        <v>5.999999999999952</v>
      </c>
      <c r="T96" s="50"/>
      <c r="U96" s="50"/>
      <c r="V96" s="189">
        <v>690000</v>
      </c>
      <c r="W96" s="115">
        <v>0</v>
      </c>
      <c r="X96" s="115">
        <v>0</v>
      </c>
      <c r="Y96" s="115">
        <v>0</v>
      </c>
      <c r="Z96" s="115">
        <v>0</v>
      </c>
      <c r="AA96" s="115">
        <v>0</v>
      </c>
      <c r="AB96" s="115">
        <v>0</v>
      </c>
      <c r="AC96" s="115">
        <v>0</v>
      </c>
      <c r="AD96" s="115">
        <v>0</v>
      </c>
      <c r="AE96" s="115">
        <v>0</v>
      </c>
      <c r="AF96" s="115">
        <v>0</v>
      </c>
      <c r="AG96" s="115">
        <v>0</v>
      </c>
      <c r="AH96" s="115">
        <v>0</v>
      </c>
      <c r="AI96" s="53"/>
      <c r="AJ96" s="58"/>
      <c r="AK96" s="58"/>
      <c r="AL96" s="275">
        <v>50000</v>
      </c>
      <c r="AM96" s="275">
        <v>100000</v>
      </c>
      <c r="AN96" s="275">
        <v>120000</v>
      </c>
      <c r="AO96" s="275">
        <v>120000</v>
      </c>
      <c r="AP96" s="275">
        <v>120000</v>
      </c>
      <c r="AQ96" s="275">
        <v>120000</v>
      </c>
      <c r="AR96" s="275">
        <v>60000</v>
      </c>
      <c r="AS96" s="58"/>
      <c r="AT96" s="58"/>
      <c r="AU96" s="58"/>
      <c r="AV96" s="53"/>
      <c r="AW96" s="47"/>
      <c r="AX96" s="53">
        <f t="shared" si="28"/>
        <v>690000</v>
      </c>
      <c r="AY96" s="51"/>
      <c r="AZ96" s="359">
        <f t="shared" si="22"/>
        <v>0</v>
      </c>
    </row>
    <row r="97" spans="1:54" s="36" customFormat="1" ht="15.75" x14ac:dyDescent="0.25">
      <c r="A97" s="113" t="s">
        <v>206</v>
      </c>
      <c r="B97" s="114" t="s">
        <v>207</v>
      </c>
      <c r="C97" s="52" t="s">
        <v>45</v>
      </c>
      <c r="D97" s="52" t="s">
        <v>45</v>
      </c>
      <c r="E97" s="35"/>
      <c r="F97" s="52" t="s">
        <v>623</v>
      </c>
      <c r="G97" s="52"/>
      <c r="H97" s="276">
        <v>44554</v>
      </c>
      <c r="I97" s="87"/>
      <c r="J97" s="299">
        <v>44564</v>
      </c>
      <c r="K97" s="299"/>
      <c r="L97" s="52">
        <f t="shared" si="29"/>
        <v>44609</v>
      </c>
      <c r="M97" s="52"/>
      <c r="N97" s="50">
        <f t="shared" si="26"/>
        <v>45</v>
      </c>
      <c r="O97" s="52" t="s">
        <v>320</v>
      </c>
      <c r="P97" s="52">
        <f t="shared" si="30"/>
        <v>44639</v>
      </c>
      <c r="Q97" s="52">
        <f>P97+(12*4.3*7)</f>
        <v>45000.2</v>
      </c>
      <c r="R97" s="52"/>
      <c r="S97" s="50">
        <f t="shared" si="27"/>
        <v>11.999999999999904</v>
      </c>
      <c r="T97" s="50"/>
      <c r="U97" s="50"/>
      <c r="V97" s="53">
        <v>2500000</v>
      </c>
      <c r="W97" s="115">
        <v>0</v>
      </c>
      <c r="X97" s="115">
        <v>0</v>
      </c>
      <c r="Y97" s="115">
        <v>0</v>
      </c>
      <c r="Z97" s="115">
        <v>0</v>
      </c>
      <c r="AA97" s="115">
        <v>0</v>
      </c>
      <c r="AB97" s="115">
        <v>0</v>
      </c>
      <c r="AC97" s="115">
        <v>0</v>
      </c>
      <c r="AD97" s="115">
        <v>0</v>
      </c>
      <c r="AE97" s="115">
        <v>0</v>
      </c>
      <c r="AF97" s="115">
        <v>0</v>
      </c>
      <c r="AG97" s="115">
        <v>0</v>
      </c>
      <c r="AH97" s="115">
        <v>0</v>
      </c>
      <c r="AI97" s="53"/>
      <c r="AJ97" s="58"/>
      <c r="AK97" s="58"/>
      <c r="AL97" s="275">
        <v>75000</v>
      </c>
      <c r="AM97" s="275">
        <v>125000</v>
      </c>
      <c r="AN97" s="275">
        <v>200000</v>
      </c>
      <c r="AO97" s="275">
        <v>200000</v>
      </c>
      <c r="AP97" s="275">
        <v>200000</v>
      </c>
      <c r="AQ97" s="275">
        <v>200000</v>
      </c>
      <c r="AR97" s="275">
        <v>200000</v>
      </c>
      <c r="AS97" s="275">
        <v>200000</v>
      </c>
      <c r="AT97" s="275">
        <v>200000</v>
      </c>
      <c r="AU97" s="275">
        <v>200000</v>
      </c>
      <c r="AV97" s="275">
        <v>700000</v>
      </c>
      <c r="AW97" s="47"/>
      <c r="AX97" s="53">
        <f t="shared" si="28"/>
        <v>2500000</v>
      </c>
      <c r="AY97" s="51"/>
      <c r="AZ97" s="359">
        <f t="shared" si="22"/>
        <v>0</v>
      </c>
      <c r="BB97" s="55"/>
    </row>
    <row r="98" spans="1:54" s="36" customFormat="1" ht="15.75" x14ac:dyDescent="0.25">
      <c r="A98" s="374" t="s">
        <v>208</v>
      </c>
      <c r="B98" s="375" t="s">
        <v>480</v>
      </c>
      <c r="C98" s="52" t="s">
        <v>563</v>
      </c>
      <c r="D98" s="52" t="s">
        <v>401</v>
      </c>
      <c r="E98" s="35" t="s">
        <v>694</v>
      </c>
      <c r="F98" s="52" t="s">
        <v>623</v>
      </c>
      <c r="G98" s="52" t="s">
        <v>320</v>
      </c>
      <c r="H98" s="87">
        <v>44551</v>
      </c>
      <c r="I98" s="87"/>
      <c r="J98" s="329">
        <v>44519</v>
      </c>
      <c r="K98" s="298"/>
      <c r="L98" s="52">
        <v>44567</v>
      </c>
      <c r="M98" s="52"/>
      <c r="N98" s="50">
        <f t="shared" si="26"/>
        <v>48</v>
      </c>
      <c r="O98" s="52" t="s">
        <v>320</v>
      </c>
      <c r="P98" s="376">
        <v>44581</v>
      </c>
      <c r="Q98" s="52">
        <f>P98+(10*4.3*7)</f>
        <v>44882</v>
      </c>
      <c r="R98" s="52"/>
      <c r="S98" s="50">
        <f t="shared" si="27"/>
        <v>10</v>
      </c>
      <c r="T98" s="50"/>
      <c r="U98" s="50"/>
      <c r="V98" s="53">
        <v>2200000</v>
      </c>
      <c r="W98" s="115">
        <v>0</v>
      </c>
      <c r="X98" s="115">
        <v>0</v>
      </c>
      <c r="Y98" s="115">
        <v>0</v>
      </c>
      <c r="Z98" s="115">
        <v>0</v>
      </c>
      <c r="AA98" s="115">
        <v>0</v>
      </c>
      <c r="AB98" s="115">
        <v>0</v>
      </c>
      <c r="AC98" s="115">
        <v>0</v>
      </c>
      <c r="AD98" s="115">
        <v>0</v>
      </c>
      <c r="AE98" s="115">
        <v>0</v>
      </c>
      <c r="AF98" s="115">
        <v>0</v>
      </c>
      <c r="AG98" s="115">
        <v>0</v>
      </c>
      <c r="AH98" s="115">
        <v>0</v>
      </c>
      <c r="AI98" s="275">
        <v>150000</v>
      </c>
      <c r="AJ98" s="275">
        <v>150000</v>
      </c>
      <c r="AK98" s="275">
        <v>200000</v>
      </c>
      <c r="AL98" s="275">
        <v>200000</v>
      </c>
      <c r="AM98" s="275">
        <v>200000</v>
      </c>
      <c r="AN98" s="275">
        <v>200000</v>
      </c>
      <c r="AO98" s="275">
        <v>200000</v>
      </c>
      <c r="AP98" s="275">
        <v>200000</v>
      </c>
      <c r="AQ98" s="275">
        <v>200000</v>
      </c>
      <c r="AR98" s="275">
        <v>200000</v>
      </c>
      <c r="AS98" s="275">
        <v>150000</v>
      </c>
      <c r="AT98" s="58"/>
      <c r="AU98" s="58"/>
      <c r="AV98" s="53"/>
      <c r="AW98" s="47"/>
      <c r="AX98" s="53">
        <f t="shared" si="28"/>
        <v>2050000</v>
      </c>
      <c r="AY98" s="51"/>
      <c r="AZ98" s="359">
        <f t="shared" si="22"/>
        <v>-150000</v>
      </c>
      <c r="BB98" s="55"/>
    </row>
    <row r="99" spans="1:54" s="36" customFormat="1" ht="15.75" x14ac:dyDescent="0.25">
      <c r="A99" s="113" t="s">
        <v>591</v>
      </c>
      <c r="B99" s="114" t="s">
        <v>592</v>
      </c>
      <c r="C99" s="52" t="s">
        <v>45</v>
      </c>
      <c r="D99" s="52" t="s">
        <v>45</v>
      </c>
      <c r="E99" s="35" t="s">
        <v>698</v>
      </c>
      <c r="F99" s="52" t="s">
        <v>623</v>
      </c>
      <c r="G99" s="52"/>
      <c r="H99" s="52"/>
      <c r="I99" s="87"/>
      <c r="J99" s="52">
        <v>44589</v>
      </c>
      <c r="K99" s="52"/>
      <c r="L99" s="52">
        <f>J99+45</f>
        <v>44634</v>
      </c>
      <c r="M99" s="52"/>
      <c r="N99" s="50">
        <f t="shared" si="26"/>
        <v>45</v>
      </c>
      <c r="O99" s="52" t="s">
        <v>320</v>
      </c>
      <c r="P99" s="52">
        <f t="shared" ref="P99:P106" si="31">L99+30</f>
        <v>44664</v>
      </c>
      <c r="Q99" s="52">
        <f>P99+(6*4.3*7)</f>
        <v>44844.6</v>
      </c>
      <c r="R99" s="52"/>
      <c r="S99" s="50">
        <f t="shared" si="27"/>
        <v>5.999999999999952</v>
      </c>
      <c r="T99" s="50"/>
      <c r="U99" s="50"/>
      <c r="V99" s="53">
        <v>400000</v>
      </c>
      <c r="W99" s="115">
        <v>0</v>
      </c>
      <c r="X99" s="115">
        <v>0</v>
      </c>
      <c r="Y99" s="115">
        <v>0</v>
      </c>
      <c r="Z99" s="115">
        <v>0</v>
      </c>
      <c r="AA99" s="115">
        <v>0</v>
      </c>
      <c r="AB99" s="115">
        <v>0</v>
      </c>
      <c r="AC99" s="115">
        <v>0</v>
      </c>
      <c r="AD99" s="115">
        <v>0</v>
      </c>
      <c r="AE99" s="115">
        <v>0</v>
      </c>
      <c r="AF99" s="115">
        <v>0</v>
      </c>
      <c r="AG99" s="115">
        <v>0</v>
      </c>
      <c r="AH99" s="115">
        <v>0</v>
      </c>
      <c r="AI99" s="275">
        <v>50000</v>
      </c>
      <c r="AJ99" s="275">
        <v>50000</v>
      </c>
      <c r="AK99" s="275">
        <v>50000</v>
      </c>
      <c r="AL99" s="275">
        <v>60000</v>
      </c>
      <c r="AM99" s="275">
        <v>60000</v>
      </c>
      <c r="AN99" s="275">
        <v>60000</v>
      </c>
      <c r="AO99" s="275">
        <v>45000</v>
      </c>
      <c r="AP99" s="58"/>
      <c r="AQ99" s="58"/>
      <c r="AR99" s="58"/>
      <c r="AS99" s="58"/>
      <c r="AT99" s="58"/>
      <c r="AU99" s="58"/>
      <c r="AV99" s="58"/>
      <c r="AW99" s="47"/>
      <c r="AX99" s="53">
        <f t="shared" si="28"/>
        <v>375000</v>
      </c>
      <c r="AY99" s="51"/>
      <c r="AZ99" s="359">
        <f t="shared" si="22"/>
        <v>-25000</v>
      </c>
    </row>
    <row r="100" spans="1:54" s="36" customFormat="1" ht="15.75" x14ac:dyDescent="0.25">
      <c r="A100" s="113" t="s">
        <v>717</v>
      </c>
      <c r="B100" s="114" t="s">
        <v>524</v>
      </c>
      <c r="C100" s="52" t="s">
        <v>45</v>
      </c>
      <c r="D100" s="52" t="s">
        <v>45</v>
      </c>
      <c r="E100" s="35" t="s">
        <v>522</v>
      </c>
      <c r="F100" s="52" t="s">
        <v>623</v>
      </c>
      <c r="G100" s="52"/>
      <c r="H100" s="52"/>
      <c r="I100" s="87"/>
      <c r="J100" s="52">
        <v>44564</v>
      </c>
      <c r="K100" s="52"/>
      <c r="L100" s="52">
        <f>J100+45</f>
        <v>44609</v>
      </c>
      <c r="M100" s="52"/>
      <c r="N100" s="50">
        <f t="shared" si="26"/>
        <v>45</v>
      </c>
      <c r="O100" s="52" t="s">
        <v>320</v>
      </c>
      <c r="P100" s="52">
        <f t="shared" si="31"/>
        <v>44639</v>
      </c>
      <c r="Q100" s="52">
        <f>P100+(10*4.3*7)</f>
        <v>44940</v>
      </c>
      <c r="R100" s="52"/>
      <c r="S100" s="50">
        <f t="shared" si="27"/>
        <v>10</v>
      </c>
      <c r="T100" s="50"/>
      <c r="U100" s="50"/>
      <c r="V100" s="53">
        <v>3000000</v>
      </c>
      <c r="W100" s="115">
        <v>0</v>
      </c>
      <c r="X100" s="115">
        <v>0</v>
      </c>
      <c r="Y100" s="115">
        <v>0</v>
      </c>
      <c r="Z100" s="115">
        <v>0</v>
      </c>
      <c r="AA100" s="115">
        <v>0</v>
      </c>
      <c r="AB100" s="115">
        <v>0</v>
      </c>
      <c r="AC100" s="115">
        <v>0</v>
      </c>
      <c r="AD100" s="115">
        <v>0</v>
      </c>
      <c r="AE100" s="115">
        <v>0</v>
      </c>
      <c r="AF100" s="115">
        <v>0</v>
      </c>
      <c r="AG100" s="115">
        <v>0</v>
      </c>
      <c r="AH100" s="115">
        <v>0</v>
      </c>
      <c r="AI100" s="53"/>
      <c r="AJ100" s="58"/>
      <c r="AK100" s="58"/>
      <c r="AL100" s="275">
        <v>125000</v>
      </c>
      <c r="AM100" s="275">
        <v>250000</v>
      </c>
      <c r="AN100" s="275">
        <v>300000</v>
      </c>
      <c r="AO100" s="275">
        <v>300000</v>
      </c>
      <c r="AP100" s="275">
        <v>300000</v>
      </c>
      <c r="AQ100" s="275">
        <v>300000</v>
      </c>
      <c r="AR100" s="275">
        <v>300000</v>
      </c>
      <c r="AS100" s="275">
        <v>300000</v>
      </c>
      <c r="AT100" s="275">
        <v>300000</v>
      </c>
      <c r="AU100" s="275">
        <v>300000</v>
      </c>
      <c r="AV100" s="275">
        <v>225000</v>
      </c>
      <c r="AW100" s="47"/>
      <c r="AX100" s="53">
        <f t="shared" si="28"/>
        <v>3000000</v>
      </c>
      <c r="AY100" s="51"/>
      <c r="AZ100" s="359">
        <f t="shared" si="22"/>
        <v>0</v>
      </c>
    </row>
    <row r="101" spans="1:54" s="36" customFormat="1" ht="15.75" x14ac:dyDescent="0.25">
      <c r="A101" s="113" t="s">
        <v>718</v>
      </c>
      <c r="B101" s="114" t="s">
        <v>660</v>
      </c>
      <c r="C101" s="52" t="s">
        <v>45</v>
      </c>
      <c r="D101" s="52" t="s">
        <v>45</v>
      </c>
      <c r="E101" s="35"/>
      <c r="F101" s="52" t="s">
        <v>623</v>
      </c>
      <c r="G101" s="52"/>
      <c r="H101" s="52"/>
      <c r="I101" s="87"/>
      <c r="J101" s="52">
        <v>44564</v>
      </c>
      <c r="K101" s="52"/>
      <c r="L101" s="52">
        <f>J101+45</f>
        <v>44609</v>
      </c>
      <c r="M101" s="52"/>
      <c r="N101" s="50">
        <f t="shared" si="26"/>
        <v>45</v>
      </c>
      <c r="O101" s="52" t="s">
        <v>320</v>
      </c>
      <c r="P101" s="52">
        <f t="shared" si="31"/>
        <v>44639</v>
      </c>
      <c r="Q101" s="52">
        <f>P101+(6*4.3*7)</f>
        <v>44819.6</v>
      </c>
      <c r="R101" s="52"/>
      <c r="S101" s="50">
        <f t="shared" si="27"/>
        <v>5.999999999999952</v>
      </c>
      <c r="T101" s="50"/>
      <c r="U101" s="50"/>
      <c r="V101" s="53">
        <v>680000</v>
      </c>
      <c r="W101" s="115">
        <v>0</v>
      </c>
      <c r="X101" s="115">
        <v>0</v>
      </c>
      <c r="Y101" s="115">
        <v>0</v>
      </c>
      <c r="Z101" s="115">
        <v>0</v>
      </c>
      <c r="AA101" s="115">
        <v>0</v>
      </c>
      <c r="AB101" s="115">
        <v>0</v>
      </c>
      <c r="AC101" s="115">
        <v>0</v>
      </c>
      <c r="AD101" s="115">
        <v>0</v>
      </c>
      <c r="AE101" s="115">
        <v>0</v>
      </c>
      <c r="AF101" s="115">
        <v>0</v>
      </c>
      <c r="AG101" s="115">
        <v>0</v>
      </c>
      <c r="AH101" s="115">
        <v>0</v>
      </c>
      <c r="AI101" s="53"/>
      <c r="AJ101" s="275">
        <v>75000</v>
      </c>
      <c r="AK101" s="275">
        <v>125000</v>
      </c>
      <c r="AL101" s="275">
        <v>125000</v>
      </c>
      <c r="AM101" s="275">
        <v>125000</v>
      </c>
      <c r="AN101" s="275">
        <v>125000</v>
      </c>
      <c r="AO101" s="275">
        <v>105000</v>
      </c>
      <c r="AP101" s="58"/>
      <c r="AQ101" s="58"/>
      <c r="AR101" s="58"/>
      <c r="AS101" s="58"/>
      <c r="AT101" s="58"/>
      <c r="AU101" s="58"/>
      <c r="AV101" s="53"/>
      <c r="AW101" s="47"/>
      <c r="AX101" s="53">
        <f t="shared" si="28"/>
        <v>680000</v>
      </c>
      <c r="AY101" s="51"/>
      <c r="AZ101" s="359">
        <f t="shared" si="22"/>
        <v>0</v>
      </c>
    </row>
    <row r="102" spans="1:54" s="36" customFormat="1" ht="15.75" x14ac:dyDescent="0.25">
      <c r="A102" s="113" t="s">
        <v>719</v>
      </c>
      <c r="B102" s="114" t="s">
        <v>661</v>
      </c>
      <c r="C102" s="52" t="s">
        <v>45</v>
      </c>
      <c r="D102" s="52" t="s">
        <v>45</v>
      </c>
      <c r="E102" s="35"/>
      <c r="F102" s="52" t="s">
        <v>623</v>
      </c>
      <c r="G102" s="52"/>
      <c r="H102" s="276">
        <v>44545</v>
      </c>
      <c r="I102" s="87"/>
      <c r="J102" s="52">
        <v>44564</v>
      </c>
      <c r="K102" s="52"/>
      <c r="L102" s="52">
        <f>J102+45</f>
        <v>44609</v>
      </c>
      <c r="M102" s="52"/>
      <c r="N102" s="50">
        <f t="shared" si="26"/>
        <v>45</v>
      </c>
      <c r="O102" s="52" t="s">
        <v>320</v>
      </c>
      <c r="P102" s="276">
        <f t="shared" si="31"/>
        <v>44639</v>
      </c>
      <c r="Q102" s="52">
        <v>44804</v>
      </c>
      <c r="R102" s="52">
        <v>44774</v>
      </c>
      <c r="S102" s="50">
        <f t="shared" si="27"/>
        <v>5.4817275747508312</v>
      </c>
      <c r="T102" s="50"/>
      <c r="U102" s="50"/>
      <c r="V102" s="53">
        <f>2860000-680000</f>
        <v>2180000</v>
      </c>
      <c r="W102" s="115">
        <v>0</v>
      </c>
      <c r="X102" s="115">
        <v>0</v>
      </c>
      <c r="Y102" s="115">
        <v>0</v>
      </c>
      <c r="Z102" s="115">
        <v>0</v>
      </c>
      <c r="AA102" s="115">
        <v>0</v>
      </c>
      <c r="AB102" s="115">
        <v>0</v>
      </c>
      <c r="AC102" s="115">
        <v>0</v>
      </c>
      <c r="AD102" s="115">
        <v>0</v>
      </c>
      <c r="AE102" s="115">
        <v>0</v>
      </c>
      <c r="AF102" s="115">
        <v>0</v>
      </c>
      <c r="AG102" s="115">
        <v>0</v>
      </c>
      <c r="AH102" s="115">
        <v>0</v>
      </c>
      <c r="AI102" s="53"/>
      <c r="AJ102" s="275">
        <v>150000</v>
      </c>
      <c r="AK102" s="275">
        <v>175000</v>
      </c>
      <c r="AL102" s="275">
        <v>250000</v>
      </c>
      <c r="AM102" s="275">
        <v>250000</v>
      </c>
      <c r="AN102" s="275">
        <v>250000</v>
      </c>
      <c r="AO102" s="275">
        <v>300000</v>
      </c>
      <c r="AP102" s="275">
        <v>300000</v>
      </c>
      <c r="AQ102" s="275">
        <v>300000</v>
      </c>
      <c r="AR102" s="275">
        <v>205000</v>
      </c>
      <c r="AS102" s="58"/>
      <c r="AT102" s="58"/>
      <c r="AU102" s="58"/>
      <c r="AV102" s="58"/>
      <c r="AW102" s="47"/>
      <c r="AX102" s="53">
        <f t="shared" si="28"/>
        <v>2180000</v>
      </c>
      <c r="AY102" s="51"/>
      <c r="AZ102" s="359">
        <f t="shared" si="22"/>
        <v>0</v>
      </c>
      <c r="BB102" s="55"/>
    </row>
    <row r="103" spans="1:54" s="36" customFormat="1" ht="15.75" x14ac:dyDescent="0.25">
      <c r="A103" s="113" t="s">
        <v>720</v>
      </c>
      <c r="B103" s="114" t="s">
        <v>721</v>
      </c>
      <c r="C103" s="52" t="s">
        <v>45</v>
      </c>
      <c r="D103" s="52" t="s">
        <v>45</v>
      </c>
      <c r="E103" s="35"/>
      <c r="F103" s="52" t="s">
        <v>623</v>
      </c>
      <c r="G103" s="52"/>
      <c r="H103" s="52"/>
      <c r="I103" s="87"/>
      <c r="J103" s="52">
        <v>44564</v>
      </c>
      <c r="K103" s="52"/>
      <c r="L103" s="52">
        <f>J103+45</f>
        <v>44609</v>
      </c>
      <c r="M103" s="52"/>
      <c r="N103" s="50">
        <f t="shared" si="26"/>
        <v>45</v>
      </c>
      <c r="O103" s="52" t="s">
        <v>320</v>
      </c>
      <c r="P103" s="52">
        <f t="shared" si="31"/>
        <v>44639</v>
      </c>
      <c r="Q103" s="52">
        <f>P103+(9*4.3*7)</f>
        <v>44909.9</v>
      </c>
      <c r="R103" s="52"/>
      <c r="S103" s="50">
        <f t="shared" si="27"/>
        <v>9.0000000000000497</v>
      </c>
      <c r="T103" s="50"/>
      <c r="U103" s="50"/>
      <c r="V103" s="53">
        <v>0</v>
      </c>
      <c r="W103" s="115">
        <v>0</v>
      </c>
      <c r="X103" s="115">
        <v>0</v>
      </c>
      <c r="Y103" s="115">
        <v>0</v>
      </c>
      <c r="Z103" s="115">
        <v>0</v>
      </c>
      <c r="AA103" s="115">
        <v>0</v>
      </c>
      <c r="AB103" s="115">
        <v>0</v>
      </c>
      <c r="AC103" s="115">
        <v>0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53"/>
      <c r="AJ103" s="58"/>
      <c r="AK103" s="58"/>
      <c r="AL103" s="275"/>
      <c r="AM103" s="275"/>
      <c r="AN103" s="275"/>
      <c r="AO103" s="275"/>
      <c r="AP103" s="275"/>
      <c r="AQ103" s="275"/>
      <c r="AR103" s="275"/>
      <c r="AS103" s="275"/>
      <c r="AT103" s="275"/>
      <c r="AU103" s="275"/>
      <c r="AV103" s="53"/>
      <c r="AW103" s="47"/>
      <c r="AX103" s="53"/>
      <c r="AY103" s="51"/>
      <c r="AZ103" s="359">
        <f t="shared" si="22"/>
        <v>0</v>
      </c>
      <c r="BB103" s="55"/>
    </row>
    <row r="104" spans="1:54" s="36" customFormat="1" ht="15.75" x14ac:dyDescent="0.25">
      <c r="A104" s="113" t="s">
        <v>724</v>
      </c>
      <c r="B104" s="114" t="s">
        <v>654</v>
      </c>
      <c r="C104" s="52" t="s">
        <v>45</v>
      </c>
      <c r="D104" s="52" t="s">
        <v>45</v>
      </c>
      <c r="E104" s="35"/>
      <c r="F104" s="52" t="s">
        <v>623</v>
      </c>
      <c r="G104" s="52"/>
      <c r="H104" s="276">
        <v>44574</v>
      </c>
      <c r="I104" s="87"/>
      <c r="J104" s="276">
        <v>44543</v>
      </c>
      <c r="K104" s="87"/>
      <c r="L104" s="52">
        <v>44573</v>
      </c>
      <c r="M104" s="52"/>
      <c r="N104" s="50">
        <f t="shared" si="26"/>
        <v>30</v>
      </c>
      <c r="O104" s="52" t="s">
        <v>320</v>
      </c>
      <c r="P104" s="52">
        <f t="shared" si="31"/>
        <v>44603</v>
      </c>
      <c r="Q104" s="52">
        <f>P104+(9*4.3*7)</f>
        <v>44873.9</v>
      </c>
      <c r="R104" s="52"/>
      <c r="S104" s="50">
        <f t="shared" si="27"/>
        <v>9.0000000000000497</v>
      </c>
      <c r="T104" s="50"/>
      <c r="U104" s="50"/>
      <c r="V104" s="53">
        <v>1500000</v>
      </c>
      <c r="W104" s="115">
        <v>0</v>
      </c>
      <c r="X104" s="115">
        <v>0</v>
      </c>
      <c r="Y104" s="115">
        <v>0</v>
      </c>
      <c r="Z104" s="115">
        <v>0</v>
      </c>
      <c r="AA104" s="115">
        <v>0</v>
      </c>
      <c r="AB104" s="115">
        <v>0</v>
      </c>
      <c r="AC104" s="115">
        <v>0</v>
      </c>
      <c r="AD104" s="115">
        <v>0</v>
      </c>
      <c r="AE104" s="115">
        <v>0</v>
      </c>
      <c r="AF104" s="115">
        <v>0</v>
      </c>
      <c r="AG104" s="115">
        <v>0</v>
      </c>
      <c r="AH104" s="115">
        <v>0</v>
      </c>
      <c r="AI104" s="53"/>
      <c r="AJ104" s="58"/>
      <c r="AK104" s="58"/>
      <c r="AL104" s="275">
        <v>50000</v>
      </c>
      <c r="AM104" s="275">
        <v>100000</v>
      </c>
      <c r="AN104" s="275">
        <v>150000</v>
      </c>
      <c r="AO104" s="275">
        <v>175000</v>
      </c>
      <c r="AP104" s="275">
        <v>175000</v>
      </c>
      <c r="AQ104" s="275">
        <v>175000</v>
      </c>
      <c r="AR104" s="275">
        <v>175000</v>
      </c>
      <c r="AS104" s="275">
        <v>175000</v>
      </c>
      <c r="AT104" s="275">
        <v>175000</v>
      </c>
      <c r="AU104" s="275">
        <v>150000</v>
      </c>
      <c r="AV104" s="53"/>
      <c r="AW104" s="47"/>
      <c r="AX104" s="53">
        <f t="shared" ref="AX104:AX135" si="32">SUM(W104:AW104)</f>
        <v>1500000</v>
      </c>
      <c r="AY104" s="51"/>
      <c r="AZ104" s="359">
        <f t="shared" ref="AZ104:AZ135" si="33">AX104-V104</f>
        <v>0</v>
      </c>
      <c r="BB104" s="55"/>
    </row>
    <row r="105" spans="1:54" s="36" customFormat="1" ht="15.75" x14ac:dyDescent="0.25">
      <c r="A105" s="113" t="s">
        <v>725</v>
      </c>
      <c r="B105" s="114" t="s">
        <v>663</v>
      </c>
      <c r="C105" s="52" t="s">
        <v>45</v>
      </c>
      <c r="D105" s="52" t="s">
        <v>45</v>
      </c>
      <c r="E105" s="35"/>
      <c r="F105" s="52" t="s">
        <v>623</v>
      </c>
      <c r="G105" s="52"/>
      <c r="H105" s="276" t="s">
        <v>320</v>
      </c>
      <c r="I105" s="87"/>
      <c r="J105" s="87">
        <v>44568</v>
      </c>
      <c r="K105" s="87"/>
      <c r="L105" s="52">
        <f>J105+45</f>
        <v>44613</v>
      </c>
      <c r="M105" s="52"/>
      <c r="N105" s="50">
        <f t="shared" si="26"/>
        <v>45</v>
      </c>
      <c r="O105" s="52" t="s">
        <v>320</v>
      </c>
      <c r="P105" s="52">
        <f t="shared" si="31"/>
        <v>44643</v>
      </c>
      <c r="Q105" s="52">
        <f>P105+(4*4.3*7)</f>
        <v>44763.4</v>
      </c>
      <c r="R105" s="52"/>
      <c r="S105" s="50">
        <f t="shared" si="27"/>
        <v>4.0000000000000488</v>
      </c>
      <c r="T105" s="50"/>
      <c r="U105" s="50"/>
      <c r="V105" s="53">
        <v>350000</v>
      </c>
      <c r="W105" s="115">
        <v>0</v>
      </c>
      <c r="X105" s="115">
        <v>0</v>
      </c>
      <c r="Y105" s="115">
        <v>0</v>
      </c>
      <c r="Z105" s="115">
        <v>0</v>
      </c>
      <c r="AA105" s="115">
        <v>0</v>
      </c>
      <c r="AB105" s="115">
        <v>0</v>
      </c>
      <c r="AC105" s="115">
        <v>0</v>
      </c>
      <c r="AD105" s="115">
        <v>0</v>
      </c>
      <c r="AE105" s="115">
        <v>0</v>
      </c>
      <c r="AF105" s="115">
        <v>0</v>
      </c>
      <c r="AG105" s="115">
        <v>0</v>
      </c>
      <c r="AH105" s="115">
        <v>0</v>
      </c>
      <c r="AI105" s="53"/>
      <c r="AJ105" s="275">
        <v>50000</v>
      </c>
      <c r="AK105" s="275">
        <v>100000</v>
      </c>
      <c r="AL105" s="275">
        <v>150000</v>
      </c>
      <c r="AM105" s="275">
        <v>50000</v>
      </c>
      <c r="AN105" s="58"/>
      <c r="AO105" s="58"/>
      <c r="AP105" s="58"/>
      <c r="AQ105" s="58"/>
      <c r="AR105" s="58"/>
      <c r="AS105" s="58"/>
      <c r="AT105" s="58"/>
      <c r="AU105" s="58"/>
      <c r="AV105" s="53"/>
      <c r="AW105" s="47"/>
      <c r="AX105" s="53">
        <f t="shared" si="32"/>
        <v>350000</v>
      </c>
      <c r="AY105" s="51"/>
      <c r="AZ105" s="359">
        <f t="shared" si="33"/>
        <v>0</v>
      </c>
    </row>
    <row r="106" spans="1:54" s="36" customFormat="1" ht="15.75" x14ac:dyDescent="0.25">
      <c r="A106" s="113" t="s">
        <v>726</v>
      </c>
      <c r="B106" s="114" t="s">
        <v>662</v>
      </c>
      <c r="C106" s="52" t="s">
        <v>45</v>
      </c>
      <c r="D106" s="52" t="s">
        <v>45</v>
      </c>
      <c r="E106" s="35"/>
      <c r="F106" s="52" t="s">
        <v>623</v>
      </c>
      <c r="G106" s="52"/>
      <c r="H106" s="276" t="s">
        <v>320</v>
      </c>
      <c r="I106" s="87"/>
      <c r="J106" s="87">
        <v>44583</v>
      </c>
      <c r="K106" s="87"/>
      <c r="L106" s="52">
        <f>J106+45</f>
        <v>44628</v>
      </c>
      <c r="M106" s="52"/>
      <c r="N106" s="50">
        <f t="shared" si="26"/>
        <v>45</v>
      </c>
      <c r="O106" s="52" t="s">
        <v>320</v>
      </c>
      <c r="P106" s="52">
        <f t="shared" si="31"/>
        <v>44658</v>
      </c>
      <c r="Q106" s="52">
        <f>P106+(6*4.3*7)</f>
        <v>44838.6</v>
      </c>
      <c r="R106" s="52"/>
      <c r="S106" s="50">
        <f t="shared" si="27"/>
        <v>5.999999999999952</v>
      </c>
      <c r="T106" s="50"/>
      <c r="U106" s="50"/>
      <c r="V106" s="53">
        <v>450000</v>
      </c>
      <c r="W106" s="115">
        <v>0</v>
      </c>
      <c r="X106" s="115">
        <v>0</v>
      </c>
      <c r="Y106" s="115">
        <v>0</v>
      </c>
      <c r="Z106" s="115">
        <v>0</v>
      </c>
      <c r="AA106" s="115">
        <v>0</v>
      </c>
      <c r="AB106" s="115">
        <v>0</v>
      </c>
      <c r="AC106" s="115">
        <v>0</v>
      </c>
      <c r="AD106" s="115">
        <v>0</v>
      </c>
      <c r="AE106" s="115">
        <v>0</v>
      </c>
      <c r="AF106" s="115">
        <v>0</v>
      </c>
      <c r="AG106" s="115">
        <v>0</v>
      </c>
      <c r="AH106" s="115">
        <v>0</v>
      </c>
      <c r="AI106" s="53"/>
      <c r="AJ106" s="58"/>
      <c r="AK106" s="58"/>
      <c r="AL106" s="58"/>
      <c r="AM106" s="275">
        <v>50000</v>
      </c>
      <c r="AN106" s="275">
        <v>75000</v>
      </c>
      <c r="AO106" s="275">
        <v>75000</v>
      </c>
      <c r="AP106" s="275">
        <v>75000</v>
      </c>
      <c r="AQ106" s="275">
        <v>75000</v>
      </c>
      <c r="AR106" s="275">
        <v>75000</v>
      </c>
      <c r="AS106" s="275">
        <v>25000</v>
      </c>
      <c r="AT106" s="58"/>
      <c r="AU106" s="58"/>
      <c r="AV106" s="53"/>
      <c r="AW106" s="47"/>
      <c r="AX106" s="53">
        <f t="shared" si="32"/>
        <v>450000</v>
      </c>
      <c r="AY106" s="51"/>
      <c r="AZ106" s="359">
        <f t="shared" si="33"/>
        <v>0</v>
      </c>
      <c r="BB106" s="55"/>
    </row>
    <row r="107" spans="1:54" s="36" customFormat="1" ht="15.75" x14ac:dyDescent="0.25">
      <c r="A107" s="374" t="s">
        <v>727</v>
      </c>
      <c r="B107" s="375" t="s">
        <v>653</v>
      </c>
      <c r="C107" s="52" t="s">
        <v>563</v>
      </c>
      <c r="D107" s="52" t="s">
        <v>633</v>
      </c>
      <c r="E107" s="35"/>
      <c r="F107" s="52" t="s">
        <v>623</v>
      </c>
      <c r="G107" s="52" t="s">
        <v>320</v>
      </c>
      <c r="H107" s="87">
        <v>44560</v>
      </c>
      <c r="I107" s="87">
        <v>44543</v>
      </c>
      <c r="J107" s="87">
        <v>44543</v>
      </c>
      <c r="K107" s="87"/>
      <c r="L107" s="52">
        <v>44574</v>
      </c>
      <c r="M107" s="52"/>
      <c r="N107" s="50">
        <f t="shared" si="26"/>
        <v>31</v>
      </c>
      <c r="O107" s="52" t="s">
        <v>320</v>
      </c>
      <c r="P107" s="276">
        <v>44220</v>
      </c>
      <c r="Q107" s="52">
        <f>P107+(9*4.3*7)</f>
        <v>44490.9</v>
      </c>
      <c r="R107" s="52"/>
      <c r="S107" s="50">
        <f t="shared" si="27"/>
        <v>9.0000000000000497</v>
      </c>
      <c r="T107" s="50"/>
      <c r="U107" s="50"/>
      <c r="V107" s="53">
        <v>1200000</v>
      </c>
      <c r="W107" s="115">
        <v>0</v>
      </c>
      <c r="X107" s="115">
        <v>0</v>
      </c>
      <c r="Y107" s="115">
        <v>0</v>
      </c>
      <c r="Z107" s="115">
        <v>0</v>
      </c>
      <c r="AA107" s="115">
        <v>0</v>
      </c>
      <c r="AB107" s="115">
        <v>0</v>
      </c>
      <c r="AC107" s="115">
        <v>0</v>
      </c>
      <c r="AD107" s="115">
        <v>0</v>
      </c>
      <c r="AE107" s="115">
        <v>0</v>
      </c>
      <c r="AF107" s="115">
        <v>0</v>
      </c>
      <c r="AG107" s="115">
        <v>0</v>
      </c>
      <c r="AH107" s="115">
        <v>0</v>
      </c>
      <c r="AI107" s="53"/>
      <c r="AJ107" s="275">
        <v>50000</v>
      </c>
      <c r="AK107" s="275">
        <v>50000</v>
      </c>
      <c r="AL107" s="275">
        <v>75000</v>
      </c>
      <c r="AM107" s="275">
        <v>150000</v>
      </c>
      <c r="AN107" s="275">
        <v>150000</v>
      </c>
      <c r="AO107" s="275">
        <v>200000</v>
      </c>
      <c r="AP107" s="275">
        <v>200000</v>
      </c>
      <c r="AQ107" s="275">
        <v>200000</v>
      </c>
      <c r="AR107" s="275">
        <v>125000</v>
      </c>
      <c r="AS107" s="58"/>
      <c r="AT107" s="58"/>
      <c r="AU107" s="58"/>
      <c r="AV107" s="53"/>
      <c r="AW107" s="47"/>
      <c r="AX107" s="53">
        <f t="shared" si="32"/>
        <v>1200000</v>
      </c>
      <c r="AY107" s="51"/>
      <c r="AZ107" s="359">
        <f t="shared" si="33"/>
        <v>0</v>
      </c>
      <c r="BB107" s="55"/>
    </row>
    <row r="108" spans="1:54" s="36" customFormat="1" ht="15.75" x14ac:dyDescent="0.25">
      <c r="A108" s="113" t="s">
        <v>729</v>
      </c>
      <c r="B108" s="114" t="s">
        <v>730</v>
      </c>
      <c r="C108" s="52" t="s">
        <v>45</v>
      </c>
      <c r="D108" s="52" t="s">
        <v>45</v>
      </c>
      <c r="E108" s="35"/>
      <c r="F108" s="52" t="s">
        <v>623</v>
      </c>
      <c r="G108" s="52"/>
      <c r="H108" s="276" t="s">
        <v>320</v>
      </c>
      <c r="I108" s="87"/>
      <c r="J108" s="87">
        <v>44560</v>
      </c>
      <c r="K108" s="87"/>
      <c r="L108" s="52">
        <f t="shared" ref="L108:L123" si="34">J108+45</f>
        <v>44605</v>
      </c>
      <c r="M108" s="52"/>
      <c r="N108" s="50">
        <f t="shared" si="26"/>
        <v>45</v>
      </c>
      <c r="O108" s="52" t="s">
        <v>320</v>
      </c>
      <c r="P108" s="52">
        <f>L108+30</f>
        <v>44635</v>
      </c>
      <c r="Q108" s="52">
        <f>P108+(4*4.3*7)</f>
        <v>44755.4</v>
      </c>
      <c r="R108" s="52"/>
      <c r="S108" s="50">
        <f t="shared" si="27"/>
        <v>4.0000000000000488</v>
      </c>
      <c r="T108" s="50"/>
      <c r="U108" s="50"/>
      <c r="V108" s="53">
        <v>350000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115">
        <v>0</v>
      </c>
      <c r="AD108" s="115">
        <v>0</v>
      </c>
      <c r="AE108" s="115">
        <v>0</v>
      </c>
      <c r="AF108" s="115">
        <v>0</v>
      </c>
      <c r="AG108" s="115">
        <v>0</v>
      </c>
      <c r="AH108" s="115">
        <v>0</v>
      </c>
      <c r="AI108" s="53"/>
      <c r="AJ108" s="58"/>
      <c r="AK108" s="58"/>
      <c r="AL108" s="275">
        <v>50000</v>
      </c>
      <c r="AM108" s="275">
        <v>75000</v>
      </c>
      <c r="AN108" s="275">
        <v>100000</v>
      </c>
      <c r="AO108" s="275">
        <v>100000</v>
      </c>
      <c r="AP108" s="275">
        <v>25000</v>
      </c>
      <c r="AQ108" s="58"/>
      <c r="AR108" s="58"/>
      <c r="AS108" s="58"/>
      <c r="AT108" s="58"/>
      <c r="AU108" s="58"/>
      <c r="AV108" s="53"/>
      <c r="AW108" s="47"/>
      <c r="AX108" s="53">
        <f t="shared" si="32"/>
        <v>350000</v>
      </c>
      <c r="AY108" s="51"/>
      <c r="AZ108" s="359">
        <f t="shared" si="33"/>
        <v>0</v>
      </c>
      <c r="BB108" s="55"/>
    </row>
    <row r="109" spans="1:54" s="36" customFormat="1" ht="15.75" x14ac:dyDescent="0.25">
      <c r="A109" s="113" t="s">
        <v>744</v>
      </c>
      <c r="B109" s="114" t="s">
        <v>733</v>
      </c>
      <c r="C109" s="52" t="s">
        <v>45</v>
      </c>
      <c r="D109" s="52" t="s">
        <v>45</v>
      </c>
      <c r="E109" s="35"/>
      <c r="F109" s="52" t="s">
        <v>623</v>
      </c>
      <c r="G109" s="52"/>
      <c r="H109" s="52"/>
      <c r="I109" s="87"/>
      <c r="J109" s="52">
        <v>44560</v>
      </c>
      <c r="K109" s="52"/>
      <c r="L109" s="52">
        <f t="shared" si="34"/>
        <v>44605</v>
      </c>
      <c r="M109" s="52"/>
      <c r="N109" s="50">
        <f t="shared" si="26"/>
        <v>45</v>
      </c>
      <c r="O109" s="52" t="s">
        <v>320</v>
      </c>
      <c r="P109" s="52">
        <f>L109+30</f>
        <v>44635</v>
      </c>
      <c r="Q109" s="52">
        <f>P109+(6*4.3*7)</f>
        <v>44815.6</v>
      </c>
      <c r="R109" s="52"/>
      <c r="S109" s="50">
        <f t="shared" si="27"/>
        <v>5.999999999999952</v>
      </c>
      <c r="T109" s="50"/>
      <c r="U109" s="50"/>
      <c r="V109" s="53">
        <v>750000</v>
      </c>
      <c r="W109" s="115">
        <v>0</v>
      </c>
      <c r="X109" s="115">
        <v>0</v>
      </c>
      <c r="Y109" s="115">
        <v>0</v>
      </c>
      <c r="Z109" s="115">
        <v>0</v>
      </c>
      <c r="AA109" s="115">
        <v>0</v>
      </c>
      <c r="AB109" s="115">
        <v>0</v>
      </c>
      <c r="AC109" s="115">
        <v>0</v>
      </c>
      <c r="AD109" s="115">
        <v>0</v>
      </c>
      <c r="AE109" s="115">
        <v>0</v>
      </c>
      <c r="AF109" s="115">
        <v>0</v>
      </c>
      <c r="AG109" s="115">
        <v>0</v>
      </c>
      <c r="AH109" s="115">
        <v>0</v>
      </c>
      <c r="AI109" s="53"/>
      <c r="AJ109" s="58"/>
      <c r="AK109" s="58"/>
      <c r="AL109" s="275">
        <v>50000</v>
      </c>
      <c r="AM109" s="275">
        <v>75000</v>
      </c>
      <c r="AN109" s="275">
        <v>130000</v>
      </c>
      <c r="AO109" s="275">
        <v>130000</v>
      </c>
      <c r="AP109" s="275">
        <v>130000</v>
      </c>
      <c r="AQ109" s="275">
        <v>130000</v>
      </c>
      <c r="AR109" s="275">
        <v>105000</v>
      </c>
      <c r="AS109" s="58"/>
      <c r="AT109" s="58"/>
      <c r="AU109" s="58"/>
      <c r="AV109" s="53"/>
      <c r="AW109" s="47"/>
      <c r="AX109" s="53">
        <f t="shared" si="32"/>
        <v>750000</v>
      </c>
      <c r="AY109" s="51"/>
      <c r="AZ109" s="359">
        <f t="shared" si="33"/>
        <v>0</v>
      </c>
      <c r="BB109" s="55"/>
    </row>
    <row r="110" spans="1:54" s="36" customFormat="1" ht="15.75" x14ac:dyDescent="0.25">
      <c r="A110" s="113" t="s">
        <v>734</v>
      </c>
      <c r="B110" s="114" t="s">
        <v>652</v>
      </c>
      <c r="C110" s="52" t="s">
        <v>45</v>
      </c>
      <c r="D110" s="52" t="s">
        <v>779</v>
      </c>
      <c r="E110" s="35" t="s">
        <v>701</v>
      </c>
      <c r="F110" s="52" t="s">
        <v>623</v>
      </c>
      <c r="G110" s="52"/>
      <c r="H110" s="52"/>
      <c r="I110" s="87"/>
      <c r="J110" s="52">
        <v>44531</v>
      </c>
      <c r="K110" s="52"/>
      <c r="L110" s="52">
        <f t="shared" si="34"/>
        <v>44576</v>
      </c>
      <c r="M110" s="52"/>
      <c r="N110" s="50">
        <f t="shared" si="26"/>
        <v>45</v>
      </c>
      <c r="O110" s="52" t="s">
        <v>320</v>
      </c>
      <c r="P110" s="52">
        <f>L110+30</f>
        <v>44606</v>
      </c>
      <c r="Q110" s="52">
        <f>P110+(6*4.3*7)</f>
        <v>44786.6</v>
      </c>
      <c r="R110" s="52"/>
      <c r="S110" s="50">
        <f t="shared" si="27"/>
        <v>5.999999999999952</v>
      </c>
      <c r="T110" s="50"/>
      <c r="U110" s="50"/>
      <c r="V110" s="53">
        <v>750000</v>
      </c>
      <c r="W110" s="115">
        <v>0</v>
      </c>
      <c r="X110" s="115">
        <v>0</v>
      </c>
      <c r="Y110" s="115">
        <v>0</v>
      </c>
      <c r="Z110" s="115">
        <v>0</v>
      </c>
      <c r="AA110" s="115">
        <v>0</v>
      </c>
      <c r="AB110" s="115">
        <v>0</v>
      </c>
      <c r="AC110" s="115">
        <v>0</v>
      </c>
      <c r="AD110" s="115">
        <v>0</v>
      </c>
      <c r="AE110" s="115">
        <v>0</v>
      </c>
      <c r="AF110" s="115">
        <v>0</v>
      </c>
      <c r="AG110" s="115">
        <v>0</v>
      </c>
      <c r="AH110" s="115">
        <v>0</v>
      </c>
      <c r="AI110" s="53"/>
      <c r="AJ110" s="58"/>
      <c r="AK110" s="275">
        <v>75000</v>
      </c>
      <c r="AL110" s="275">
        <v>100000</v>
      </c>
      <c r="AM110" s="275">
        <v>125000</v>
      </c>
      <c r="AN110" s="275">
        <v>125000</v>
      </c>
      <c r="AO110" s="275">
        <v>125000</v>
      </c>
      <c r="AP110" s="275">
        <v>140000</v>
      </c>
      <c r="AQ110" s="275">
        <v>60000</v>
      </c>
      <c r="AR110" s="58"/>
      <c r="AS110" s="58"/>
      <c r="AT110" s="58"/>
      <c r="AU110" s="58"/>
      <c r="AV110" s="53"/>
      <c r="AW110" s="47"/>
      <c r="AX110" s="53">
        <f t="shared" si="32"/>
        <v>750000</v>
      </c>
      <c r="AY110" s="51"/>
      <c r="AZ110" s="359">
        <f t="shared" si="33"/>
        <v>0</v>
      </c>
      <c r="BB110" s="55"/>
    </row>
    <row r="111" spans="1:54" s="36" customFormat="1" ht="15.75" x14ac:dyDescent="0.25">
      <c r="A111" s="185" t="s">
        <v>764</v>
      </c>
      <c r="B111" s="186" t="s">
        <v>765</v>
      </c>
      <c r="C111" s="52" t="s">
        <v>45</v>
      </c>
      <c r="D111" s="52" t="s">
        <v>778</v>
      </c>
      <c r="E111" s="35"/>
      <c r="F111" s="52" t="s">
        <v>623</v>
      </c>
      <c r="G111" s="52"/>
      <c r="H111" s="276" t="s">
        <v>320</v>
      </c>
      <c r="I111" s="87"/>
      <c r="J111" s="52">
        <v>44545</v>
      </c>
      <c r="K111" s="52"/>
      <c r="L111" s="52">
        <f t="shared" si="34"/>
        <v>44590</v>
      </c>
      <c r="M111" s="52"/>
      <c r="N111" s="50"/>
      <c r="O111" s="52" t="s">
        <v>320</v>
      </c>
      <c r="P111" s="87">
        <f>L111+5</f>
        <v>44595</v>
      </c>
      <c r="Q111" s="52">
        <f>P111+(9*4.3*7)</f>
        <v>44865.9</v>
      </c>
      <c r="R111" s="52"/>
      <c r="S111" s="50">
        <f t="shared" si="27"/>
        <v>9.0000000000000497</v>
      </c>
      <c r="T111" s="50"/>
      <c r="U111" s="50"/>
      <c r="V111" s="53"/>
      <c r="W111" s="115">
        <v>0</v>
      </c>
      <c r="X111" s="115">
        <v>0</v>
      </c>
      <c r="Y111" s="115">
        <v>0</v>
      </c>
      <c r="Z111" s="115">
        <v>0</v>
      </c>
      <c r="AA111" s="115">
        <v>0</v>
      </c>
      <c r="AB111" s="115">
        <v>0</v>
      </c>
      <c r="AC111" s="115">
        <v>0</v>
      </c>
      <c r="AD111" s="115">
        <v>0</v>
      </c>
      <c r="AE111" s="115">
        <v>0</v>
      </c>
      <c r="AF111" s="115">
        <v>0</v>
      </c>
      <c r="AG111" s="115">
        <v>0</v>
      </c>
      <c r="AH111" s="115">
        <v>0</v>
      </c>
      <c r="AI111" s="53"/>
      <c r="AJ111" s="58"/>
      <c r="AK111" s="275"/>
      <c r="AL111" s="275"/>
      <c r="AM111" s="275"/>
      <c r="AN111" s="275"/>
      <c r="AO111" s="275"/>
      <c r="AP111" s="275"/>
      <c r="AQ111" s="275"/>
      <c r="AR111" s="275"/>
      <c r="AS111" s="275"/>
      <c r="AT111" s="58"/>
      <c r="AU111" s="58"/>
      <c r="AV111" s="53"/>
      <c r="AW111" s="47"/>
      <c r="AX111" s="53">
        <f t="shared" si="32"/>
        <v>0</v>
      </c>
      <c r="AY111" s="51"/>
      <c r="AZ111" s="359">
        <f t="shared" si="33"/>
        <v>0</v>
      </c>
      <c r="BB111" s="55"/>
    </row>
    <row r="112" spans="1:54" s="36" customFormat="1" ht="15.75" x14ac:dyDescent="0.25">
      <c r="A112" s="185" t="s">
        <v>768</v>
      </c>
      <c r="B112" s="186" t="s">
        <v>769</v>
      </c>
      <c r="C112" s="52" t="s">
        <v>45</v>
      </c>
      <c r="D112" s="87" t="s">
        <v>778</v>
      </c>
      <c r="E112" s="35"/>
      <c r="F112" s="52" t="s">
        <v>623</v>
      </c>
      <c r="G112" s="52"/>
      <c r="H112" s="276" t="s">
        <v>320</v>
      </c>
      <c r="I112" s="87"/>
      <c r="J112" s="52">
        <v>44545</v>
      </c>
      <c r="K112" s="52"/>
      <c r="L112" s="52">
        <f t="shared" si="34"/>
        <v>44590</v>
      </c>
      <c r="M112" s="52"/>
      <c r="N112" s="50">
        <f t="shared" ref="N112:N132" si="35">L112-J112</f>
        <v>45</v>
      </c>
      <c r="O112" s="52" t="s">
        <v>320</v>
      </c>
      <c r="P112" s="52">
        <f t="shared" ref="P112:P120" si="36">L112+30</f>
        <v>44620</v>
      </c>
      <c r="Q112" s="52">
        <f>P112+(6*4.3*7)</f>
        <v>44800.6</v>
      </c>
      <c r="R112" s="52"/>
      <c r="S112" s="50">
        <f t="shared" si="27"/>
        <v>5.999999999999952</v>
      </c>
      <c r="T112" s="50"/>
      <c r="U112" s="50"/>
      <c r="V112" s="53"/>
      <c r="W112" s="115">
        <v>0</v>
      </c>
      <c r="X112" s="115">
        <v>0</v>
      </c>
      <c r="Y112" s="115">
        <v>0</v>
      </c>
      <c r="Z112" s="115">
        <v>0</v>
      </c>
      <c r="AA112" s="115">
        <v>0</v>
      </c>
      <c r="AB112" s="115">
        <v>0</v>
      </c>
      <c r="AC112" s="115">
        <v>0</v>
      </c>
      <c r="AD112" s="115">
        <v>0</v>
      </c>
      <c r="AE112" s="115">
        <v>0</v>
      </c>
      <c r="AF112" s="115">
        <v>0</v>
      </c>
      <c r="AG112" s="115">
        <v>0</v>
      </c>
      <c r="AH112" s="115">
        <v>0</v>
      </c>
      <c r="AI112" s="53"/>
      <c r="AJ112" s="58"/>
      <c r="AK112" s="58"/>
      <c r="AL112" s="58"/>
      <c r="AM112" s="58"/>
      <c r="AN112" s="275"/>
      <c r="AO112" s="275"/>
      <c r="AP112" s="275"/>
      <c r="AQ112" s="275"/>
      <c r="AR112" s="275"/>
      <c r="AS112" s="275"/>
      <c r="AT112" s="58"/>
      <c r="AU112" s="58"/>
      <c r="AV112" s="53"/>
      <c r="AW112" s="47"/>
      <c r="AX112" s="53">
        <f t="shared" si="32"/>
        <v>0</v>
      </c>
      <c r="AY112" s="51"/>
      <c r="AZ112" s="359">
        <f t="shared" si="33"/>
        <v>0</v>
      </c>
      <c r="BB112" s="55"/>
    </row>
    <row r="113" spans="1:54" s="36" customFormat="1" ht="15.75" x14ac:dyDescent="0.25">
      <c r="A113" s="185" t="s">
        <v>770</v>
      </c>
      <c r="B113" s="186" t="s">
        <v>772</v>
      </c>
      <c r="C113" s="52" t="s">
        <v>45</v>
      </c>
      <c r="D113" s="52" t="s">
        <v>45</v>
      </c>
      <c r="E113" s="35"/>
      <c r="F113" s="52" t="s">
        <v>623</v>
      </c>
      <c r="G113" s="52"/>
      <c r="H113" s="276" t="s">
        <v>320</v>
      </c>
      <c r="I113" s="87"/>
      <c r="J113" s="52">
        <v>44560</v>
      </c>
      <c r="K113" s="52"/>
      <c r="L113" s="52">
        <f t="shared" si="34"/>
        <v>44605</v>
      </c>
      <c r="M113" s="52"/>
      <c r="N113" s="50">
        <f t="shared" si="35"/>
        <v>45</v>
      </c>
      <c r="O113" s="52" t="s">
        <v>320</v>
      </c>
      <c r="P113" s="52">
        <f t="shared" si="36"/>
        <v>44635</v>
      </c>
      <c r="Q113" s="52">
        <f>P113+(6*4.3*7)</f>
        <v>44815.6</v>
      </c>
      <c r="R113" s="52"/>
      <c r="S113" s="50">
        <f t="shared" si="27"/>
        <v>5.999999999999952</v>
      </c>
      <c r="T113" s="50"/>
      <c r="U113" s="50"/>
      <c r="V113" s="53"/>
      <c r="W113" s="115">
        <v>0</v>
      </c>
      <c r="X113" s="115">
        <v>0</v>
      </c>
      <c r="Y113" s="115">
        <v>0</v>
      </c>
      <c r="Z113" s="115">
        <v>0</v>
      </c>
      <c r="AA113" s="115">
        <v>0</v>
      </c>
      <c r="AB113" s="115">
        <v>0</v>
      </c>
      <c r="AC113" s="115">
        <v>0</v>
      </c>
      <c r="AD113" s="115">
        <v>0</v>
      </c>
      <c r="AE113" s="115">
        <v>0</v>
      </c>
      <c r="AF113" s="115">
        <v>0</v>
      </c>
      <c r="AG113" s="115">
        <v>0</v>
      </c>
      <c r="AH113" s="115">
        <v>0</v>
      </c>
      <c r="AI113" s="53"/>
      <c r="AJ113" s="58"/>
      <c r="AK113" s="58"/>
      <c r="AL113" s="58"/>
      <c r="AM113" s="58"/>
      <c r="AN113" s="275"/>
      <c r="AO113" s="275"/>
      <c r="AP113" s="275"/>
      <c r="AQ113" s="275"/>
      <c r="AR113" s="275"/>
      <c r="AS113" s="275"/>
      <c r="AT113" s="58"/>
      <c r="AU113" s="58"/>
      <c r="AV113" s="53"/>
      <c r="AW113" s="47"/>
      <c r="AX113" s="53">
        <f t="shared" si="32"/>
        <v>0</v>
      </c>
      <c r="AY113" s="51"/>
      <c r="AZ113" s="359">
        <f t="shared" si="33"/>
        <v>0</v>
      </c>
      <c r="BB113" s="55"/>
    </row>
    <row r="114" spans="1:54" s="36" customFormat="1" ht="15.75" x14ac:dyDescent="0.25">
      <c r="A114" s="113" t="s">
        <v>771</v>
      </c>
      <c r="B114" s="114" t="s">
        <v>773</v>
      </c>
      <c r="C114" s="52" t="s">
        <v>45</v>
      </c>
      <c r="D114" s="52" t="s">
        <v>45</v>
      </c>
      <c r="E114" s="35"/>
      <c r="F114" s="52" t="s">
        <v>623</v>
      </c>
      <c r="G114" s="52"/>
      <c r="H114" s="276" t="s">
        <v>320</v>
      </c>
      <c r="I114" s="87"/>
      <c r="J114" s="52">
        <v>44560</v>
      </c>
      <c r="K114" s="52"/>
      <c r="L114" s="52">
        <f t="shared" si="34"/>
        <v>44605</v>
      </c>
      <c r="M114" s="52"/>
      <c r="N114" s="50">
        <f t="shared" si="35"/>
        <v>45</v>
      </c>
      <c r="O114" s="52" t="s">
        <v>320</v>
      </c>
      <c r="P114" s="52">
        <f t="shared" si="36"/>
        <v>44635</v>
      </c>
      <c r="Q114" s="52">
        <f>P114+(4*4.3*7)</f>
        <v>44755.4</v>
      </c>
      <c r="R114" s="52"/>
      <c r="S114" s="50">
        <f t="shared" si="27"/>
        <v>4.0000000000000488</v>
      </c>
      <c r="T114" s="50"/>
      <c r="U114" s="50"/>
      <c r="V114" s="53"/>
      <c r="W114" s="115">
        <v>0</v>
      </c>
      <c r="X114" s="115">
        <v>0</v>
      </c>
      <c r="Y114" s="115">
        <v>0</v>
      </c>
      <c r="Z114" s="115">
        <v>0</v>
      </c>
      <c r="AA114" s="115">
        <v>0</v>
      </c>
      <c r="AB114" s="115">
        <v>0</v>
      </c>
      <c r="AC114" s="115">
        <v>0</v>
      </c>
      <c r="AD114" s="115">
        <v>0</v>
      </c>
      <c r="AE114" s="115">
        <v>0</v>
      </c>
      <c r="AF114" s="115">
        <v>0</v>
      </c>
      <c r="AG114" s="115">
        <v>0</v>
      </c>
      <c r="AH114" s="115">
        <v>0</v>
      </c>
      <c r="AI114" s="53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3"/>
      <c r="AW114" s="47"/>
      <c r="AX114" s="53">
        <f t="shared" si="32"/>
        <v>0</v>
      </c>
      <c r="AY114" s="51"/>
      <c r="AZ114" s="359">
        <f t="shared" si="33"/>
        <v>0</v>
      </c>
    </row>
    <row r="115" spans="1:54" s="36" customFormat="1" ht="15.75" x14ac:dyDescent="0.25">
      <c r="A115" s="113" t="s">
        <v>775</v>
      </c>
      <c r="B115" s="114" t="s">
        <v>766</v>
      </c>
      <c r="C115" s="52" t="s">
        <v>45</v>
      </c>
      <c r="D115" s="87" t="s">
        <v>45</v>
      </c>
      <c r="E115" s="57"/>
      <c r="F115" s="52" t="s">
        <v>623</v>
      </c>
      <c r="G115" s="52"/>
      <c r="H115" s="276">
        <v>44605</v>
      </c>
      <c r="I115" s="87"/>
      <c r="J115" s="87">
        <v>44560</v>
      </c>
      <c r="K115" s="87"/>
      <c r="L115" s="87">
        <f t="shared" si="34"/>
        <v>44605</v>
      </c>
      <c r="M115" s="87"/>
      <c r="N115" s="50">
        <f t="shared" si="35"/>
        <v>45</v>
      </c>
      <c r="O115" s="52" t="s">
        <v>320</v>
      </c>
      <c r="P115" s="52">
        <f t="shared" si="36"/>
        <v>44635</v>
      </c>
      <c r="Q115" s="52">
        <f t="shared" ref="Q115:Q120" si="37">P115+(9*4.3*7)</f>
        <v>44905.9</v>
      </c>
      <c r="R115" s="52"/>
      <c r="S115" s="50">
        <f t="shared" si="27"/>
        <v>9.0000000000000497</v>
      </c>
      <c r="T115" s="50"/>
      <c r="U115" s="50"/>
      <c r="V115" s="53">
        <v>1200000</v>
      </c>
      <c r="W115" s="115">
        <v>0</v>
      </c>
      <c r="X115" s="115">
        <v>0</v>
      </c>
      <c r="Y115" s="115">
        <v>0</v>
      </c>
      <c r="Z115" s="115">
        <v>0</v>
      </c>
      <c r="AA115" s="115">
        <v>0</v>
      </c>
      <c r="AB115" s="115">
        <v>0</v>
      </c>
      <c r="AC115" s="115">
        <v>0</v>
      </c>
      <c r="AD115" s="115">
        <v>0</v>
      </c>
      <c r="AE115" s="115">
        <v>0</v>
      </c>
      <c r="AF115" s="115">
        <v>0</v>
      </c>
      <c r="AG115" s="115">
        <v>0</v>
      </c>
      <c r="AH115" s="115">
        <v>0</v>
      </c>
      <c r="AI115" s="53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3">
        <v>1200000</v>
      </c>
      <c r="AW115" s="47"/>
      <c r="AX115" s="53">
        <f t="shared" si="32"/>
        <v>1200000</v>
      </c>
      <c r="AY115" s="51"/>
      <c r="AZ115" s="359">
        <f t="shared" si="33"/>
        <v>0</v>
      </c>
    </row>
    <row r="116" spans="1:54" s="36" customFormat="1" ht="15.75" x14ac:dyDescent="0.25">
      <c r="A116" s="113" t="s">
        <v>775</v>
      </c>
      <c r="B116" s="114" t="s">
        <v>767</v>
      </c>
      <c r="C116" s="52" t="s">
        <v>45</v>
      </c>
      <c r="D116" s="87" t="s">
        <v>45</v>
      </c>
      <c r="E116" s="57"/>
      <c r="F116" s="52" t="s">
        <v>623</v>
      </c>
      <c r="G116" s="52"/>
      <c r="H116" s="276" t="s">
        <v>320</v>
      </c>
      <c r="I116" s="87"/>
      <c r="J116" s="87">
        <v>44560</v>
      </c>
      <c r="K116" s="87"/>
      <c r="L116" s="87">
        <f t="shared" si="34"/>
        <v>44605</v>
      </c>
      <c r="M116" s="87"/>
      <c r="N116" s="50">
        <f t="shared" si="35"/>
        <v>45</v>
      </c>
      <c r="O116" s="52" t="s">
        <v>320</v>
      </c>
      <c r="P116" s="52">
        <f t="shared" si="36"/>
        <v>44635</v>
      </c>
      <c r="Q116" s="52">
        <f t="shared" si="37"/>
        <v>44905.9</v>
      </c>
      <c r="R116" s="52"/>
      <c r="S116" s="50">
        <f t="shared" si="27"/>
        <v>9.0000000000000497</v>
      </c>
      <c r="T116" s="50"/>
      <c r="U116" s="50"/>
      <c r="V116" s="53">
        <v>300000</v>
      </c>
      <c r="W116" s="115">
        <v>0</v>
      </c>
      <c r="X116" s="115">
        <v>0</v>
      </c>
      <c r="Y116" s="115">
        <v>0</v>
      </c>
      <c r="Z116" s="115">
        <v>0</v>
      </c>
      <c r="AA116" s="115">
        <v>0</v>
      </c>
      <c r="AB116" s="115">
        <v>0</v>
      </c>
      <c r="AC116" s="115">
        <v>0</v>
      </c>
      <c r="AD116" s="115">
        <v>0</v>
      </c>
      <c r="AE116" s="115">
        <v>0</v>
      </c>
      <c r="AF116" s="115">
        <v>0</v>
      </c>
      <c r="AG116" s="115">
        <v>0</v>
      </c>
      <c r="AH116" s="115">
        <v>0</v>
      </c>
      <c r="AI116" s="53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3">
        <v>300000</v>
      </c>
      <c r="AW116" s="47"/>
      <c r="AX116" s="53">
        <f t="shared" si="32"/>
        <v>300000</v>
      </c>
      <c r="AY116" s="51"/>
      <c r="AZ116" s="359">
        <f t="shared" si="33"/>
        <v>0</v>
      </c>
    </row>
    <row r="117" spans="1:54" s="36" customFormat="1" ht="15.75" x14ac:dyDescent="0.25">
      <c r="A117" s="113" t="s">
        <v>775</v>
      </c>
      <c r="B117" s="114" t="s">
        <v>788</v>
      </c>
      <c r="C117" s="52" t="s">
        <v>45</v>
      </c>
      <c r="D117" s="87" t="s">
        <v>45</v>
      </c>
      <c r="E117" s="57"/>
      <c r="F117" s="52" t="s">
        <v>623</v>
      </c>
      <c r="G117" s="52"/>
      <c r="H117" s="276" t="s">
        <v>320</v>
      </c>
      <c r="I117" s="87"/>
      <c r="J117" s="87">
        <v>44560</v>
      </c>
      <c r="K117" s="87"/>
      <c r="L117" s="87">
        <f t="shared" si="34"/>
        <v>44605</v>
      </c>
      <c r="M117" s="87"/>
      <c r="N117" s="50">
        <f t="shared" si="35"/>
        <v>45</v>
      </c>
      <c r="O117" s="52" t="s">
        <v>320</v>
      </c>
      <c r="P117" s="52">
        <f t="shared" si="36"/>
        <v>44635</v>
      </c>
      <c r="Q117" s="52">
        <f t="shared" si="37"/>
        <v>44905.9</v>
      </c>
      <c r="R117" s="52"/>
      <c r="S117" s="50">
        <f t="shared" si="27"/>
        <v>9.0000000000000497</v>
      </c>
      <c r="T117" s="50"/>
      <c r="U117" s="50"/>
      <c r="V117" s="53"/>
      <c r="W117" s="115">
        <v>0</v>
      </c>
      <c r="X117" s="115">
        <v>0</v>
      </c>
      <c r="Y117" s="115">
        <v>0</v>
      </c>
      <c r="Z117" s="115">
        <v>0</v>
      </c>
      <c r="AA117" s="115">
        <v>0</v>
      </c>
      <c r="AB117" s="115">
        <v>0</v>
      </c>
      <c r="AC117" s="115">
        <v>0</v>
      </c>
      <c r="AD117" s="115">
        <v>0</v>
      </c>
      <c r="AE117" s="115">
        <v>0</v>
      </c>
      <c r="AF117" s="115">
        <v>0</v>
      </c>
      <c r="AG117" s="115">
        <v>0</v>
      </c>
      <c r="AH117" s="115">
        <v>0</v>
      </c>
      <c r="AI117" s="53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3"/>
      <c r="AW117" s="47"/>
      <c r="AX117" s="53">
        <f t="shared" si="32"/>
        <v>0</v>
      </c>
      <c r="AY117" s="51"/>
      <c r="AZ117" s="359">
        <f t="shared" si="33"/>
        <v>0</v>
      </c>
    </row>
    <row r="118" spans="1:54" s="36" customFormat="1" ht="15.75" x14ac:dyDescent="0.25">
      <c r="A118" s="113" t="s">
        <v>775</v>
      </c>
      <c r="B118" s="114" t="s">
        <v>776</v>
      </c>
      <c r="C118" s="52" t="s">
        <v>45</v>
      </c>
      <c r="D118" s="87" t="s">
        <v>45</v>
      </c>
      <c r="E118" s="65"/>
      <c r="F118" s="52"/>
      <c r="G118" s="52"/>
      <c r="H118" s="52"/>
      <c r="I118" s="52"/>
      <c r="J118" s="87">
        <v>44560</v>
      </c>
      <c r="K118" s="87"/>
      <c r="L118" s="87">
        <f t="shared" si="34"/>
        <v>44605</v>
      </c>
      <c r="M118" s="87"/>
      <c r="N118" s="50">
        <f t="shared" si="35"/>
        <v>45</v>
      </c>
      <c r="O118" s="52" t="s">
        <v>320</v>
      </c>
      <c r="P118" s="52">
        <f t="shared" si="36"/>
        <v>44635</v>
      </c>
      <c r="Q118" s="52">
        <f t="shared" si="37"/>
        <v>44905.9</v>
      </c>
      <c r="R118" s="52"/>
      <c r="S118" s="50">
        <f t="shared" si="27"/>
        <v>9.0000000000000497</v>
      </c>
      <c r="T118" s="50"/>
      <c r="U118" s="50"/>
      <c r="V118" s="53">
        <v>2000000</v>
      </c>
      <c r="W118" s="115">
        <v>0</v>
      </c>
      <c r="X118" s="115">
        <v>0</v>
      </c>
      <c r="Y118" s="115">
        <v>0</v>
      </c>
      <c r="Z118" s="115">
        <v>0</v>
      </c>
      <c r="AA118" s="115">
        <v>0</v>
      </c>
      <c r="AB118" s="115">
        <v>0</v>
      </c>
      <c r="AC118" s="115">
        <v>0</v>
      </c>
      <c r="AD118" s="115">
        <v>0</v>
      </c>
      <c r="AE118" s="115">
        <v>0</v>
      </c>
      <c r="AF118" s="115">
        <v>0</v>
      </c>
      <c r="AG118" s="115">
        <v>0</v>
      </c>
      <c r="AH118" s="115">
        <v>0</v>
      </c>
      <c r="AI118" s="53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3">
        <v>2000000</v>
      </c>
      <c r="AW118" s="47"/>
      <c r="AX118" s="53">
        <f t="shared" si="32"/>
        <v>2000000</v>
      </c>
      <c r="AY118" s="51"/>
      <c r="AZ118" s="359">
        <f t="shared" si="33"/>
        <v>0</v>
      </c>
    </row>
    <row r="119" spans="1:54" s="36" customFormat="1" ht="15.75" x14ac:dyDescent="0.25">
      <c r="A119" s="113" t="s">
        <v>775</v>
      </c>
      <c r="B119" s="114" t="s">
        <v>789</v>
      </c>
      <c r="C119" s="52" t="s">
        <v>45</v>
      </c>
      <c r="D119" s="87" t="s">
        <v>45</v>
      </c>
      <c r="E119" s="65"/>
      <c r="F119" s="52"/>
      <c r="G119" s="52"/>
      <c r="H119" s="52"/>
      <c r="I119" s="52"/>
      <c r="J119" s="87">
        <v>44560</v>
      </c>
      <c r="K119" s="87"/>
      <c r="L119" s="87">
        <f t="shared" si="34"/>
        <v>44605</v>
      </c>
      <c r="M119" s="87"/>
      <c r="N119" s="50">
        <f t="shared" si="35"/>
        <v>45</v>
      </c>
      <c r="O119" s="52" t="s">
        <v>320</v>
      </c>
      <c r="P119" s="52">
        <f t="shared" si="36"/>
        <v>44635</v>
      </c>
      <c r="Q119" s="52">
        <f t="shared" si="37"/>
        <v>44905.9</v>
      </c>
      <c r="R119" s="52"/>
      <c r="S119" s="50">
        <f t="shared" si="27"/>
        <v>9.0000000000000497</v>
      </c>
      <c r="T119" s="50"/>
      <c r="U119" s="50"/>
      <c r="V119" s="53">
        <v>650000</v>
      </c>
      <c r="W119" s="115">
        <v>0</v>
      </c>
      <c r="X119" s="115">
        <v>0</v>
      </c>
      <c r="Y119" s="115">
        <v>0</v>
      </c>
      <c r="Z119" s="115">
        <v>0</v>
      </c>
      <c r="AA119" s="115">
        <v>0</v>
      </c>
      <c r="AB119" s="115">
        <v>0</v>
      </c>
      <c r="AC119" s="115">
        <v>0</v>
      </c>
      <c r="AD119" s="115">
        <v>0</v>
      </c>
      <c r="AE119" s="115">
        <v>0</v>
      </c>
      <c r="AF119" s="115">
        <v>0</v>
      </c>
      <c r="AG119" s="115">
        <v>0</v>
      </c>
      <c r="AH119" s="115">
        <v>0</v>
      </c>
      <c r="AI119" s="53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3">
        <v>650000</v>
      </c>
      <c r="AW119" s="47"/>
      <c r="AX119" s="53">
        <f t="shared" si="32"/>
        <v>650000</v>
      </c>
      <c r="AY119" s="51"/>
      <c r="AZ119" s="359">
        <f t="shared" si="33"/>
        <v>0</v>
      </c>
    </row>
    <row r="120" spans="1:54" s="36" customFormat="1" ht="15.75" x14ac:dyDescent="0.25">
      <c r="A120" s="113" t="s">
        <v>775</v>
      </c>
      <c r="B120" s="114" t="s">
        <v>790</v>
      </c>
      <c r="C120" s="52" t="s">
        <v>45</v>
      </c>
      <c r="D120" s="87" t="s">
        <v>45</v>
      </c>
      <c r="E120" s="57"/>
      <c r="F120" s="52"/>
      <c r="G120" s="52"/>
      <c r="H120" s="52"/>
      <c r="I120" s="52"/>
      <c r="J120" s="87">
        <v>44560</v>
      </c>
      <c r="K120" s="87"/>
      <c r="L120" s="87">
        <f t="shared" si="34"/>
        <v>44605</v>
      </c>
      <c r="M120" s="87"/>
      <c r="N120" s="50">
        <f t="shared" si="35"/>
        <v>45</v>
      </c>
      <c r="O120" s="52" t="s">
        <v>320</v>
      </c>
      <c r="P120" s="52">
        <f t="shared" si="36"/>
        <v>44635</v>
      </c>
      <c r="Q120" s="52">
        <f t="shared" si="37"/>
        <v>44905.9</v>
      </c>
      <c r="R120" s="52"/>
      <c r="S120" s="50">
        <f t="shared" si="27"/>
        <v>9.0000000000000497</v>
      </c>
      <c r="T120" s="50"/>
      <c r="U120" s="50"/>
      <c r="V120" s="53"/>
      <c r="W120" s="115">
        <v>0</v>
      </c>
      <c r="X120" s="115">
        <v>0</v>
      </c>
      <c r="Y120" s="115">
        <v>0</v>
      </c>
      <c r="Z120" s="115">
        <v>0</v>
      </c>
      <c r="AA120" s="115">
        <v>0</v>
      </c>
      <c r="AB120" s="115">
        <v>0</v>
      </c>
      <c r="AC120" s="115">
        <v>0</v>
      </c>
      <c r="AD120" s="115">
        <v>0</v>
      </c>
      <c r="AE120" s="115">
        <v>0</v>
      </c>
      <c r="AF120" s="115">
        <v>0</v>
      </c>
      <c r="AG120" s="115">
        <v>0</v>
      </c>
      <c r="AH120" s="115">
        <v>0</v>
      </c>
      <c r="AI120" s="53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3"/>
      <c r="AW120" s="47"/>
      <c r="AX120" s="53">
        <f t="shared" si="32"/>
        <v>0</v>
      </c>
      <c r="AY120" s="51"/>
      <c r="AZ120" s="359">
        <f t="shared" si="33"/>
        <v>0</v>
      </c>
    </row>
    <row r="121" spans="1:54" s="36" customFormat="1" ht="15.75" x14ac:dyDescent="0.25">
      <c r="A121" s="113" t="s">
        <v>475</v>
      </c>
      <c r="B121" s="114" t="s">
        <v>538</v>
      </c>
      <c r="C121" s="52" t="s">
        <v>45</v>
      </c>
      <c r="D121" s="52" t="s">
        <v>45</v>
      </c>
      <c r="E121" s="35" t="s">
        <v>539</v>
      </c>
      <c r="F121" s="52" t="s">
        <v>623</v>
      </c>
      <c r="G121" s="52"/>
      <c r="H121" s="52"/>
      <c r="I121" s="52"/>
      <c r="J121" s="52">
        <v>44560</v>
      </c>
      <c r="K121" s="52"/>
      <c r="L121" s="52">
        <f t="shared" si="34"/>
        <v>44605</v>
      </c>
      <c r="M121" s="52"/>
      <c r="N121" s="50">
        <f t="shared" si="35"/>
        <v>45</v>
      </c>
      <c r="O121" s="52" t="s">
        <v>320</v>
      </c>
      <c r="P121" s="52">
        <v>44805</v>
      </c>
      <c r="Q121" s="52">
        <f>P121+(12*4.3*7)</f>
        <v>45166.2</v>
      </c>
      <c r="R121" s="52"/>
      <c r="S121" s="50">
        <f t="shared" si="27"/>
        <v>11.999999999999904</v>
      </c>
      <c r="T121" s="50"/>
      <c r="U121" s="50"/>
      <c r="V121" s="58">
        <v>14000000</v>
      </c>
      <c r="W121" s="115">
        <v>0</v>
      </c>
      <c r="X121" s="115">
        <v>0</v>
      </c>
      <c r="Y121" s="115">
        <v>0</v>
      </c>
      <c r="Z121" s="115">
        <v>0</v>
      </c>
      <c r="AA121" s="115">
        <v>0</v>
      </c>
      <c r="AB121" s="115">
        <v>0</v>
      </c>
      <c r="AC121" s="115">
        <v>0</v>
      </c>
      <c r="AD121" s="115">
        <v>0</v>
      </c>
      <c r="AE121" s="115">
        <v>0</v>
      </c>
      <c r="AF121" s="115">
        <v>0</v>
      </c>
      <c r="AG121" s="115">
        <v>0</v>
      </c>
      <c r="AH121" s="115">
        <v>0</v>
      </c>
      <c r="AI121" s="53"/>
      <c r="AJ121" s="58"/>
      <c r="AK121" s="58"/>
      <c r="AL121" s="58"/>
      <c r="AM121" s="58"/>
      <c r="AN121" s="58"/>
      <c r="AO121" s="58"/>
      <c r="AP121" s="58"/>
      <c r="AQ121" s="58"/>
      <c r="AR121" s="275">
        <v>1250000</v>
      </c>
      <c r="AS121" s="275">
        <v>1250000</v>
      </c>
      <c r="AT121" s="275">
        <v>1250000</v>
      </c>
      <c r="AU121" s="275">
        <v>1250000</v>
      </c>
      <c r="AV121" s="275">
        <f>3200000+5800000</f>
        <v>9000000</v>
      </c>
      <c r="AW121" s="47"/>
      <c r="AX121" s="53">
        <f t="shared" si="32"/>
        <v>14000000</v>
      </c>
      <c r="AY121" s="51"/>
      <c r="AZ121" s="380">
        <f t="shared" si="33"/>
        <v>0</v>
      </c>
      <c r="BB121" s="55"/>
    </row>
    <row r="122" spans="1:54" s="36" customFormat="1" ht="15.75" x14ac:dyDescent="0.25">
      <c r="A122" s="354" t="s">
        <v>475</v>
      </c>
      <c r="B122" s="355" t="s">
        <v>655</v>
      </c>
      <c r="C122" s="52" t="s">
        <v>45</v>
      </c>
      <c r="D122" s="52" t="s">
        <v>45</v>
      </c>
      <c r="E122" s="35"/>
      <c r="F122" s="52" t="s">
        <v>623</v>
      </c>
      <c r="G122" s="52"/>
      <c r="H122" s="52"/>
      <c r="I122" s="52"/>
      <c r="J122" s="52">
        <v>44228</v>
      </c>
      <c r="K122" s="52"/>
      <c r="L122" s="52">
        <f t="shared" si="34"/>
        <v>44273</v>
      </c>
      <c r="M122" s="52"/>
      <c r="N122" s="50">
        <f t="shared" si="35"/>
        <v>45</v>
      </c>
      <c r="O122" s="52" t="s">
        <v>320</v>
      </c>
      <c r="P122" s="52">
        <f>L122+30</f>
        <v>44303</v>
      </c>
      <c r="Q122" s="52">
        <f>P122+(4*4.3*7)</f>
        <v>44423.4</v>
      </c>
      <c r="R122" s="52"/>
      <c r="S122" s="50">
        <f t="shared" si="27"/>
        <v>4.0000000000000488</v>
      </c>
      <c r="T122" s="50"/>
      <c r="U122" s="50"/>
      <c r="V122" s="53"/>
      <c r="W122" s="115">
        <v>0</v>
      </c>
      <c r="X122" s="115">
        <v>0</v>
      </c>
      <c r="Y122" s="115">
        <v>0</v>
      </c>
      <c r="Z122" s="115">
        <v>0</v>
      </c>
      <c r="AA122" s="115">
        <v>0</v>
      </c>
      <c r="AB122" s="115">
        <v>0</v>
      </c>
      <c r="AC122" s="115">
        <v>0</v>
      </c>
      <c r="AD122" s="115">
        <v>0</v>
      </c>
      <c r="AE122" s="115">
        <v>0</v>
      </c>
      <c r="AF122" s="115">
        <v>0</v>
      </c>
      <c r="AG122" s="115">
        <v>0</v>
      </c>
      <c r="AH122" s="115">
        <v>0</v>
      </c>
      <c r="AI122" s="53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3"/>
      <c r="AW122" s="47"/>
      <c r="AX122" s="53">
        <f t="shared" si="32"/>
        <v>0</v>
      </c>
      <c r="AY122" s="51"/>
      <c r="AZ122" s="359">
        <f t="shared" si="33"/>
        <v>0</v>
      </c>
    </row>
    <row r="123" spans="1:54" s="36" customFormat="1" ht="15.75" x14ac:dyDescent="0.25">
      <c r="A123" s="113" t="s">
        <v>398</v>
      </c>
      <c r="B123" s="114" t="s">
        <v>703</v>
      </c>
      <c r="C123" s="52" t="s">
        <v>664</v>
      </c>
      <c r="D123" s="52" t="s">
        <v>45</v>
      </c>
      <c r="E123" s="61" t="s">
        <v>702</v>
      </c>
      <c r="F123" s="52" t="s">
        <v>623</v>
      </c>
      <c r="G123" s="52"/>
      <c r="H123" s="52"/>
      <c r="I123" s="52"/>
      <c r="J123" s="52">
        <v>44560</v>
      </c>
      <c r="K123" s="52"/>
      <c r="L123" s="52">
        <f t="shared" si="34"/>
        <v>44605</v>
      </c>
      <c r="M123" s="52"/>
      <c r="N123" s="50">
        <f t="shared" si="35"/>
        <v>45</v>
      </c>
      <c r="O123" s="52" t="s">
        <v>320</v>
      </c>
      <c r="P123" s="52">
        <v>44713</v>
      </c>
      <c r="Q123" s="52">
        <f>P123+(10*4.3*7)</f>
        <v>45014</v>
      </c>
      <c r="R123" s="52"/>
      <c r="S123" s="50">
        <f t="shared" si="27"/>
        <v>10</v>
      </c>
      <c r="T123" s="50"/>
      <c r="U123" s="50"/>
      <c r="V123" s="53">
        <v>2400000</v>
      </c>
      <c r="W123" s="115">
        <v>0</v>
      </c>
      <c r="X123" s="115">
        <v>0</v>
      </c>
      <c r="Y123" s="115">
        <v>0</v>
      </c>
      <c r="Z123" s="115">
        <v>0</v>
      </c>
      <c r="AA123" s="115">
        <v>0</v>
      </c>
      <c r="AB123" s="115">
        <v>0</v>
      </c>
      <c r="AC123" s="115">
        <v>0</v>
      </c>
      <c r="AD123" s="115">
        <v>0</v>
      </c>
      <c r="AE123" s="115">
        <v>0</v>
      </c>
      <c r="AF123" s="115">
        <v>0</v>
      </c>
      <c r="AG123" s="115">
        <v>0</v>
      </c>
      <c r="AH123" s="115">
        <v>0</v>
      </c>
      <c r="AI123" s="53"/>
      <c r="AJ123" s="58"/>
      <c r="AK123" s="58"/>
      <c r="AL123" s="58"/>
      <c r="AM123" s="58"/>
      <c r="AN123" s="58"/>
      <c r="AO123" s="275">
        <v>250000</v>
      </c>
      <c r="AP123" s="275">
        <v>250000</v>
      </c>
      <c r="AQ123" s="275">
        <v>250000</v>
      </c>
      <c r="AR123" s="275">
        <v>250000</v>
      </c>
      <c r="AS123" s="275">
        <v>250000</v>
      </c>
      <c r="AT123" s="275">
        <v>250000</v>
      </c>
      <c r="AU123" s="275">
        <v>250000</v>
      </c>
      <c r="AV123" s="275">
        <f>125000+525000</f>
        <v>650000</v>
      </c>
      <c r="AW123" s="47"/>
      <c r="AX123" s="53">
        <f t="shared" si="32"/>
        <v>2400000</v>
      </c>
      <c r="AY123" s="51"/>
      <c r="AZ123" s="380">
        <f t="shared" si="33"/>
        <v>0</v>
      </c>
    </row>
    <row r="124" spans="1:54" s="36" customFormat="1" ht="15.75" x14ac:dyDescent="0.25">
      <c r="A124" s="113" t="s">
        <v>143</v>
      </c>
      <c r="B124" s="114" t="s">
        <v>145</v>
      </c>
      <c r="C124" s="52" t="s">
        <v>45</v>
      </c>
      <c r="D124" s="87" t="s">
        <v>704</v>
      </c>
      <c r="E124" s="105" t="s">
        <v>146</v>
      </c>
      <c r="F124" s="52" t="s">
        <v>623</v>
      </c>
      <c r="G124" s="52"/>
      <c r="H124" s="52" t="s">
        <v>24</v>
      </c>
      <c r="I124" s="52"/>
      <c r="J124" s="347">
        <v>44470</v>
      </c>
      <c r="K124" s="347"/>
      <c r="L124" s="52">
        <v>44575</v>
      </c>
      <c r="M124" s="52"/>
      <c r="N124" s="50">
        <f t="shared" si="35"/>
        <v>105</v>
      </c>
      <c r="O124" s="52" t="s">
        <v>320</v>
      </c>
      <c r="P124" s="52">
        <v>44666</v>
      </c>
      <c r="Q124" s="52">
        <f>P124+(9*4.3*7)</f>
        <v>44936.9</v>
      </c>
      <c r="R124" s="87"/>
      <c r="S124" s="50">
        <f t="shared" si="27"/>
        <v>9.0000000000000497</v>
      </c>
      <c r="T124" s="50"/>
      <c r="U124" s="88"/>
      <c r="V124" s="58">
        <v>600000</v>
      </c>
      <c r="W124" s="115">
        <v>0</v>
      </c>
      <c r="X124" s="115">
        <v>0</v>
      </c>
      <c r="Y124" s="115">
        <v>0</v>
      </c>
      <c r="Z124" s="115">
        <v>0</v>
      </c>
      <c r="AA124" s="115">
        <v>0</v>
      </c>
      <c r="AB124" s="115">
        <v>0</v>
      </c>
      <c r="AC124" s="115">
        <v>0</v>
      </c>
      <c r="AD124" s="115">
        <v>0</v>
      </c>
      <c r="AE124" s="115">
        <v>0</v>
      </c>
      <c r="AF124" s="115">
        <v>0</v>
      </c>
      <c r="AG124" s="115">
        <v>0</v>
      </c>
      <c r="AH124" s="115">
        <v>0</v>
      </c>
      <c r="AI124" s="58"/>
      <c r="AJ124" s="58"/>
      <c r="AK124" s="58"/>
      <c r="AL124" s="58"/>
      <c r="AM124" s="275">
        <v>80000</v>
      </c>
      <c r="AN124" s="275">
        <v>80000</v>
      </c>
      <c r="AO124" s="275">
        <v>80000</v>
      </c>
      <c r="AP124" s="275">
        <v>80000</v>
      </c>
      <c r="AQ124" s="275">
        <v>80000</v>
      </c>
      <c r="AR124" s="275">
        <v>80000</v>
      </c>
      <c r="AS124" s="275">
        <f>45000+75000</f>
        <v>120000</v>
      </c>
      <c r="AT124" s="58"/>
      <c r="AU124" s="58"/>
      <c r="AV124" s="53"/>
      <c r="AW124" s="47"/>
      <c r="AX124" s="53">
        <f t="shared" si="32"/>
        <v>600000</v>
      </c>
      <c r="AY124" s="51"/>
      <c r="AZ124" s="380">
        <f t="shared" si="33"/>
        <v>0</v>
      </c>
      <c r="BB124" s="55"/>
    </row>
    <row r="125" spans="1:54" s="36" customFormat="1" ht="15.75" x14ac:dyDescent="0.25">
      <c r="A125" s="374" t="s">
        <v>156</v>
      </c>
      <c r="B125" s="375" t="s">
        <v>157</v>
      </c>
      <c r="C125" s="52" t="s">
        <v>708</v>
      </c>
      <c r="D125" s="87" t="s">
        <v>704</v>
      </c>
      <c r="E125" s="56" t="s">
        <v>158</v>
      </c>
      <c r="F125" s="52" t="s">
        <v>623</v>
      </c>
      <c r="G125" s="52" t="s">
        <v>320</v>
      </c>
      <c r="H125" s="87" t="s">
        <v>370</v>
      </c>
      <c r="I125" s="52"/>
      <c r="J125" s="329">
        <v>44497</v>
      </c>
      <c r="K125" s="329"/>
      <c r="L125" s="87">
        <v>44547</v>
      </c>
      <c r="M125" s="87"/>
      <c r="N125" s="50">
        <f t="shared" si="35"/>
        <v>50</v>
      </c>
      <c r="O125" s="52" t="s">
        <v>320</v>
      </c>
      <c r="P125" s="276">
        <v>44582</v>
      </c>
      <c r="Q125" s="52">
        <f>P125+(9*4.3*7)</f>
        <v>44852.9</v>
      </c>
      <c r="R125" s="52"/>
      <c r="S125" s="50">
        <f t="shared" si="27"/>
        <v>9.0000000000000497</v>
      </c>
      <c r="T125" s="50"/>
      <c r="U125" s="50"/>
      <c r="V125" s="53">
        <v>2000000</v>
      </c>
      <c r="W125" s="115">
        <v>0</v>
      </c>
      <c r="X125" s="115">
        <v>0</v>
      </c>
      <c r="Y125" s="115">
        <v>0</v>
      </c>
      <c r="Z125" s="115">
        <v>0</v>
      </c>
      <c r="AA125" s="115">
        <v>0</v>
      </c>
      <c r="AB125" s="115">
        <v>0</v>
      </c>
      <c r="AC125" s="115">
        <v>0</v>
      </c>
      <c r="AD125" s="115">
        <v>0</v>
      </c>
      <c r="AE125" s="115">
        <v>0</v>
      </c>
      <c r="AF125" s="115">
        <v>0</v>
      </c>
      <c r="AG125" s="115">
        <v>0</v>
      </c>
      <c r="AH125" s="115">
        <v>0</v>
      </c>
      <c r="AI125" s="275">
        <v>100000</v>
      </c>
      <c r="AJ125" s="275">
        <v>175000</v>
      </c>
      <c r="AK125" s="275">
        <v>250000</v>
      </c>
      <c r="AL125" s="275">
        <v>250000</v>
      </c>
      <c r="AM125" s="275">
        <v>25000</v>
      </c>
      <c r="AN125" s="275">
        <v>250000</v>
      </c>
      <c r="AO125" s="275">
        <v>300000</v>
      </c>
      <c r="AP125" s="275">
        <v>300000</v>
      </c>
      <c r="AQ125" s="275">
        <v>150000</v>
      </c>
      <c r="AR125" s="58"/>
      <c r="AS125" s="58"/>
      <c r="AT125" s="58"/>
      <c r="AU125" s="58"/>
      <c r="AV125" s="53"/>
      <c r="AW125" s="47"/>
      <c r="AX125" s="53">
        <f t="shared" si="32"/>
        <v>1800000</v>
      </c>
      <c r="AY125" s="51"/>
      <c r="AZ125" s="359">
        <f t="shared" si="33"/>
        <v>-200000</v>
      </c>
      <c r="BB125" s="55"/>
    </row>
    <row r="126" spans="1:54" s="36" customFormat="1" ht="15.75" x14ac:dyDescent="0.25">
      <c r="A126" s="374" t="s">
        <v>159</v>
      </c>
      <c r="B126" s="375" t="s">
        <v>428</v>
      </c>
      <c r="C126" s="52" t="s">
        <v>708</v>
      </c>
      <c r="D126" s="87" t="s">
        <v>704</v>
      </c>
      <c r="E126" s="56" t="s">
        <v>158</v>
      </c>
      <c r="F126" s="52" t="s">
        <v>623</v>
      </c>
      <c r="G126" s="52" t="s">
        <v>320</v>
      </c>
      <c r="H126" s="52">
        <v>44471</v>
      </c>
      <c r="I126" s="52">
        <v>44526</v>
      </c>
      <c r="J126" s="87">
        <v>44526</v>
      </c>
      <c r="K126" s="87"/>
      <c r="L126" s="87">
        <f>J126+90</f>
        <v>44616</v>
      </c>
      <c r="M126" s="87"/>
      <c r="N126" s="50">
        <f t="shared" si="35"/>
        <v>90</v>
      </c>
      <c r="O126" s="52" t="s">
        <v>320</v>
      </c>
      <c r="P126" s="52">
        <f>L126+30</f>
        <v>44646</v>
      </c>
      <c r="Q126" s="52">
        <f>P126+(4*4.3*7)</f>
        <v>44766.400000000001</v>
      </c>
      <c r="R126" s="52"/>
      <c r="S126" s="50">
        <f t="shared" si="27"/>
        <v>4.0000000000000488</v>
      </c>
      <c r="T126" s="50"/>
      <c r="U126" s="50"/>
      <c r="V126" s="53">
        <v>550000</v>
      </c>
      <c r="W126" s="115">
        <v>0</v>
      </c>
      <c r="X126" s="115">
        <v>0</v>
      </c>
      <c r="Y126" s="115">
        <v>0</v>
      </c>
      <c r="Z126" s="115">
        <v>0</v>
      </c>
      <c r="AA126" s="115">
        <v>0</v>
      </c>
      <c r="AB126" s="115">
        <v>0</v>
      </c>
      <c r="AC126" s="115">
        <v>0</v>
      </c>
      <c r="AD126" s="115">
        <v>0</v>
      </c>
      <c r="AE126" s="115">
        <v>0</v>
      </c>
      <c r="AF126" s="115">
        <v>0</v>
      </c>
      <c r="AG126" s="115">
        <v>0</v>
      </c>
      <c r="AH126" s="115">
        <v>0</v>
      </c>
      <c r="AI126" s="275">
        <v>50000</v>
      </c>
      <c r="AJ126" s="58"/>
      <c r="AK126" s="58"/>
      <c r="AL126" s="275">
        <v>50000</v>
      </c>
      <c r="AM126" s="275">
        <v>100000</v>
      </c>
      <c r="AN126" s="275">
        <v>100000</v>
      </c>
      <c r="AO126" s="275">
        <v>100000</v>
      </c>
      <c r="AP126" s="275">
        <v>100000</v>
      </c>
      <c r="AQ126" s="58"/>
      <c r="AR126" s="58"/>
      <c r="AS126" s="58"/>
      <c r="AT126" s="58"/>
      <c r="AU126" s="58"/>
      <c r="AV126" s="53"/>
      <c r="AW126" s="47"/>
      <c r="AX126" s="53">
        <f t="shared" si="32"/>
        <v>500000</v>
      </c>
      <c r="AY126" s="51"/>
      <c r="AZ126" s="359">
        <f t="shared" si="33"/>
        <v>-50000</v>
      </c>
      <c r="BB126" s="55"/>
    </row>
    <row r="127" spans="1:54" s="36" customFormat="1" ht="15.75" x14ac:dyDescent="0.25">
      <c r="A127" s="113" t="s">
        <v>394</v>
      </c>
      <c r="B127" s="114" t="s">
        <v>763</v>
      </c>
      <c r="C127" s="52" t="s">
        <v>708</v>
      </c>
      <c r="D127" s="87" t="s">
        <v>704</v>
      </c>
      <c r="E127" s="57" t="s">
        <v>149</v>
      </c>
      <c r="F127" s="52" t="s">
        <v>623</v>
      </c>
      <c r="G127" s="52"/>
      <c r="H127" s="52" t="s">
        <v>787</v>
      </c>
      <c r="I127" s="52"/>
      <c r="J127" s="347">
        <v>44491</v>
      </c>
      <c r="K127" s="347"/>
      <c r="L127" s="87">
        <v>44575</v>
      </c>
      <c r="M127" s="87"/>
      <c r="N127" s="50">
        <f t="shared" si="35"/>
        <v>84</v>
      </c>
      <c r="O127" s="52" t="s">
        <v>320</v>
      </c>
      <c r="P127" s="52">
        <v>44666</v>
      </c>
      <c r="Q127" s="52">
        <f>P127+(9*4.3*7)</f>
        <v>44936.9</v>
      </c>
      <c r="R127" s="52"/>
      <c r="S127" s="50">
        <f t="shared" si="27"/>
        <v>9.0000000000000497</v>
      </c>
      <c r="T127" s="50"/>
      <c r="U127" s="50"/>
      <c r="V127" s="53">
        <v>750000</v>
      </c>
      <c r="W127" s="115">
        <v>0</v>
      </c>
      <c r="X127" s="115">
        <v>0</v>
      </c>
      <c r="Y127" s="115">
        <v>0</v>
      </c>
      <c r="Z127" s="115">
        <v>0</v>
      </c>
      <c r="AA127" s="115">
        <v>0</v>
      </c>
      <c r="AB127" s="115">
        <v>0</v>
      </c>
      <c r="AC127" s="115">
        <v>0</v>
      </c>
      <c r="AD127" s="115">
        <v>0</v>
      </c>
      <c r="AE127" s="115">
        <v>0</v>
      </c>
      <c r="AF127" s="115">
        <v>0</v>
      </c>
      <c r="AG127" s="115">
        <v>0</v>
      </c>
      <c r="AH127" s="115">
        <v>0</v>
      </c>
      <c r="AI127" s="58"/>
      <c r="AJ127" s="58"/>
      <c r="AK127" s="58"/>
      <c r="AL127" s="58"/>
      <c r="AM127" s="275">
        <v>90000</v>
      </c>
      <c r="AN127" s="275">
        <v>90000</v>
      </c>
      <c r="AO127" s="275">
        <v>90000</v>
      </c>
      <c r="AP127" s="275">
        <v>90000</v>
      </c>
      <c r="AQ127" s="275">
        <v>90000</v>
      </c>
      <c r="AR127" s="275">
        <v>90000</v>
      </c>
      <c r="AS127" s="275">
        <v>65000</v>
      </c>
      <c r="AT127" s="275">
        <f>50000+95000</f>
        <v>145000</v>
      </c>
      <c r="AU127" s="58"/>
      <c r="AV127" s="53"/>
      <c r="AW127" s="47"/>
      <c r="AX127" s="53">
        <f t="shared" si="32"/>
        <v>750000</v>
      </c>
      <c r="AY127" s="51"/>
      <c r="AZ127" s="359">
        <f t="shared" si="33"/>
        <v>0</v>
      </c>
      <c r="BB127" s="55"/>
    </row>
    <row r="128" spans="1:54" s="36" customFormat="1" ht="15.75" x14ac:dyDescent="0.25">
      <c r="A128" s="113" t="s">
        <v>228</v>
      </c>
      <c r="B128" s="114" t="s">
        <v>579</v>
      </c>
      <c r="C128" s="52" t="s">
        <v>45</v>
      </c>
      <c r="D128" s="87" t="s">
        <v>45</v>
      </c>
      <c r="E128" s="57" t="s">
        <v>230</v>
      </c>
      <c r="F128" s="52" t="s">
        <v>623</v>
      </c>
      <c r="G128" s="52"/>
      <c r="H128" s="52"/>
      <c r="I128" s="52"/>
      <c r="J128" s="87">
        <v>44530</v>
      </c>
      <c r="K128" s="87"/>
      <c r="L128" s="87">
        <f>J128+90</f>
        <v>44620</v>
      </c>
      <c r="M128" s="87"/>
      <c r="N128" s="50">
        <f t="shared" si="35"/>
        <v>90</v>
      </c>
      <c r="O128" s="52" t="s">
        <v>320</v>
      </c>
      <c r="P128" s="52">
        <f>L128+30</f>
        <v>44650</v>
      </c>
      <c r="Q128" s="52">
        <f>P128+(9*4.3*7)</f>
        <v>44920.9</v>
      </c>
      <c r="R128" s="52"/>
      <c r="S128" s="50">
        <f t="shared" si="27"/>
        <v>9.0000000000000497</v>
      </c>
      <c r="T128" s="50"/>
      <c r="U128" s="52"/>
      <c r="V128" s="53">
        <v>2229000</v>
      </c>
      <c r="W128" s="115">
        <v>0</v>
      </c>
      <c r="X128" s="115">
        <v>0</v>
      </c>
      <c r="Y128" s="115">
        <v>0</v>
      </c>
      <c r="Z128" s="115">
        <v>0</v>
      </c>
      <c r="AA128" s="115">
        <v>0</v>
      </c>
      <c r="AB128" s="115">
        <v>0</v>
      </c>
      <c r="AC128" s="115">
        <v>0</v>
      </c>
      <c r="AD128" s="115">
        <v>0</v>
      </c>
      <c r="AE128" s="115">
        <v>0</v>
      </c>
      <c r="AF128" s="115">
        <v>0</v>
      </c>
      <c r="AG128" s="115">
        <v>0</v>
      </c>
      <c r="AH128" s="115">
        <v>0</v>
      </c>
      <c r="AI128" s="58"/>
      <c r="AJ128" s="58"/>
      <c r="AK128" s="58"/>
      <c r="AL128" s="275">
        <v>125000</v>
      </c>
      <c r="AM128" s="275">
        <v>175000</v>
      </c>
      <c r="AN128" s="275">
        <v>225000</v>
      </c>
      <c r="AO128" s="275">
        <v>250000</v>
      </c>
      <c r="AP128" s="275">
        <v>250000</v>
      </c>
      <c r="AQ128" s="275">
        <v>250000</v>
      </c>
      <c r="AR128" s="275">
        <v>250000</v>
      </c>
      <c r="AS128" s="275">
        <v>250000</v>
      </c>
      <c r="AT128" s="275">
        <v>250000</v>
      </c>
      <c r="AU128" s="275">
        <v>204000</v>
      </c>
      <c r="AV128" s="53"/>
      <c r="AW128" s="47"/>
      <c r="AX128" s="53">
        <f t="shared" si="32"/>
        <v>2229000</v>
      </c>
      <c r="AY128" s="51"/>
      <c r="AZ128" s="359">
        <f t="shared" si="33"/>
        <v>0</v>
      </c>
    </row>
    <row r="129" spans="1:54" s="36" customFormat="1" ht="15.75" x14ac:dyDescent="0.25">
      <c r="A129" s="113" t="s">
        <v>578</v>
      </c>
      <c r="B129" s="114" t="s">
        <v>443</v>
      </c>
      <c r="C129" s="52" t="s">
        <v>45</v>
      </c>
      <c r="D129" s="87" t="s">
        <v>45</v>
      </c>
      <c r="E129" s="57" t="s">
        <v>230</v>
      </c>
      <c r="F129" s="52" t="s">
        <v>623</v>
      </c>
      <c r="G129" s="52"/>
      <c r="H129" s="52"/>
      <c r="I129" s="52"/>
      <c r="J129" s="87">
        <v>44530</v>
      </c>
      <c r="K129" s="87"/>
      <c r="L129" s="87">
        <v>44620</v>
      </c>
      <c r="M129" s="87"/>
      <c r="N129" s="50">
        <f t="shared" si="35"/>
        <v>90</v>
      </c>
      <c r="O129" s="52" t="s">
        <v>320</v>
      </c>
      <c r="P129" s="52">
        <f>L129+90</f>
        <v>44710</v>
      </c>
      <c r="Q129" s="52">
        <f>P129+(4*4.3*7)</f>
        <v>44830.400000000001</v>
      </c>
      <c r="R129" s="52"/>
      <c r="S129" s="50">
        <f t="shared" si="27"/>
        <v>4.0000000000000488</v>
      </c>
      <c r="T129" s="50"/>
      <c r="U129" s="50"/>
      <c r="V129" s="53">
        <v>360000</v>
      </c>
      <c r="W129" s="115">
        <v>0</v>
      </c>
      <c r="X129" s="115">
        <v>0</v>
      </c>
      <c r="Y129" s="115">
        <v>0</v>
      </c>
      <c r="Z129" s="115">
        <v>0</v>
      </c>
      <c r="AA129" s="115">
        <v>0</v>
      </c>
      <c r="AB129" s="115">
        <v>0</v>
      </c>
      <c r="AC129" s="115">
        <v>0</v>
      </c>
      <c r="AD129" s="115">
        <v>0</v>
      </c>
      <c r="AE129" s="115">
        <v>0</v>
      </c>
      <c r="AF129" s="115">
        <v>0</v>
      </c>
      <c r="AG129" s="115">
        <v>0</v>
      </c>
      <c r="AH129" s="115">
        <v>0</v>
      </c>
      <c r="AI129" s="53"/>
      <c r="AJ129" s="58"/>
      <c r="AK129" s="58"/>
      <c r="AL129" s="58"/>
      <c r="AM129" s="58"/>
      <c r="AN129" s="58"/>
      <c r="AO129" s="58"/>
      <c r="AP129" s="58"/>
      <c r="AQ129" s="58"/>
      <c r="AR129" s="275">
        <v>50000</v>
      </c>
      <c r="AS129" s="275">
        <v>75000</v>
      </c>
      <c r="AT129" s="275">
        <v>125000</v>
      </c>
      <c r="AU129" s="275">
        <v>110000</v>
      </c>
      <c r="AV129" s="53"/>
      <c r="AW129" s="47"/>
      <c r="AX129" s="53">
        <f t="shared" si="32"/>
        <v>360000</v>
      </c>
      <c r="AY129" s="51"/>
      <c r="AZ129" s="359">
        <f t="shared" si="33"/>
        <v>0</v>
      </c>
    </row>
    <row r="130" spans="1:54" s="36" customFormat="1" ht="15.75" x14ac:dyDescent="0.25">
      <c r="A130" s="113" t="s">
        <v>735</v>
      </c>
      <c r="B130" s="114" t="s">
        <v>736</v>
      </c>
      <c r="C130" s="52" t="s">
        <v>563</v>
      </c>
      <c r="D130" s="87" t="s">
        <v>704</v>
      </c>
      <c r="E130" s="57" t="s">
        <v>149</v>
      </c>
      <c r="F130" s="52" t="s">
        <v>623</v>
      </c>
      <c r="G130" s="52"/>
      <c r="H130" s="52" t="s">
        <v>786</v>
      </c>
      <c r="I130" s="52"/>
      <c r="J130" s="87">
        <v>44596</v>
      </c>
      <c r="K130" s="87"/>
      <c r="L130" s="87">
        <f>J130+90</f>
        <v>44686</v>
      </c>
      <c r="M130" s="87"/>
      <c r="N130" s="50">
        <f t="shared" si="35"/>
        <v>90</v>
      </c>
      <c r="O130" s="52" t="s">
        <v>320</v>
      </c>
      <c r="P130" s="52">
        <v>44666</v>
      </c>
      <c r="Q130" s="52">
        <f>P130+(6*4.3*7)</f>
        <v>44846.6</v>
      </c>
      <c r="R130" s="52"/>
      <c r="S130" s="50">
        <f t="shared" si="27"/>
        <v>5.999999999999952</v>
      </c>
      <c r="T130" s="50"/>
      <c r="U130" s="50"/>
      <c r="V130" s="53">
        <v>600000</v>
      </c>
      <c r="W130" s="115">
        <v>0</v>
      </c>
      <c r="X130" s="115">
        <v>0</v>
      </c>
      <c r="Y130" s="115">
        <v>0</v>
      </c>
      <c r="Z130" s="115">
        <v>0</v>
      </c>
      <c r="AA130" s="115">
        <v>0</v>
      </c>
      <c r="AB130" s="115">
        <v>0</v>
      </c>
      <c r="AC130" s="115">
        <v>0</v>
      </c>
      <c r="AD130" s="115">
        <v>0</v>
      </c>
      <c r="AE130" s="115">
        <v>0</v>
      </c>
      <c r="AF130" s="115">
        <v>0</v>
      </c>
      <c r="AG130" s="115">
        <v>0</v>
      </c>
      <c r="AH130" s="115">
        <v>0</v>
      </c>
      <c r="AI130" s="53"/>
      <c r="AJ130" s="58"/>
      <c r="AK130" s="58"/>
      <c r="AL130" s="58"/>
      <c r="AM130" s="58"/>
      <c r="AN130" s="58"/>
      <c r="AO130" s="275">
        <v>25000</v>
      </c>
      <c r="AP130" s="275">
        <v>50000</v>
      </c>
      <c r="AQ130" s="275">
        <v>80000</v>
      </c>
      <c r="AR130" s="275">
        <v>80000</v>
      </c>
      <c r="AS130" s="275">
        <v>80000</v>
      </c>
      <c r="AT130" s="275">
        <v>80000</v>
      </c>
      <c r="AU130" s="275">
        <v>80000</v>
      </c>
      <c r="AV130" s="275">
        <v>125000</v>
      </c>
      <c r="AW130" s="47"/>
      <c r="AX130" s="53">
        <f t="shared" si="32"/>
        <v>600000</v>
      </c>
      <c r="AY130" s="51"/>
      <c r="AZ130" s="380">
        <f t="shared" si="33"/>
        <v>0</v>
      </c>
    </row>
    <row r="131" spans="1:54" s="36" customFormat="1" ht="15.75" x14ac:dyDescent="0.25">
      <c r="A131" s="113" t="s">
        <v>737</v>
      </c>
      <c r="B131" s="114" t="s">
        <v>740</v>
      </c>
      <c r="C131" s="52" t="s">
        <v>563</v>
      </c>
      <c r="D131" s="87" t="s">
        <v>704</v>
      </c>
      <c r="E131" s="57" t="s">
        <v>149</v>
      </c>
      <c r="F131" s="52" t="s">
        <v>623</v>
      </c>
      <c r="G131" s="52"/>
      <c r="H131" s="52"/>
      <c r="I131" s="52"/>
      <c r="J131" s="87">
        <v>44596</v>
      </c>
      <c r="K131" s="87"/>
      <c r="L131" s="87">
        <f>J131+90</f>
        <v>44686</v>
      </c>
      <c r="M131" s="87"/>
      <c r="N131" s="50">
        <f t="shared" si="35"/>
        <v>90</v>
      </c>
      <c r="O131" s="52" t="s">
        <v>320</v>
      </c>
      <c r="P131" s="52">
        <f>L131+30</f>
        <v>44716</v>
      </c>
      <c r="Q131" s="52">
        <f>P131+(9*4.3*7)</f>
        <v>44986.9</v>
      </c>
      <c r="R131" s="52"/>
      <c r="S131" s="50">
        <f t="shared" si="27"/>
        <v>9.0000000000000497</v>
      </c>
      <c r="T131" s="50"/>
      <c r="U131" s="50"/>
      <c r="V131" s="53"/>
      <c r="W131" s="115">
        <v>0</v>
      </c>
      <c r="X131" s="115">
        <v>0</v>
      </c>
      <c r="Y131" s="115">
        <v>0</v>
      </c>
      <c r="Z131" s="115">
        <v>0</v>
      </c>
      <c r="AA131" s="115">
        <v>0</v>
      </c>
      <c r="AB131" s="115">
        <v>0</v>
      </c>
      <c r="AC131" s="115">
        <v>0</v>
      </c>
      <c r="AD131" s="115">
        <v>0</v>
      </c>
      <c r="AE131" s="115">
        <v>0</v>
      </c>
      <c r="AF131" s="115">
        <v>0</v>
      </c>
      <c r="AG131" s="115">
        <v>0</v>
      </c>
      <c r="AH131" s="115">
        <v>0</v>
      </c>
      <c r="AI131" s="53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3"/>
      <c r="AW131" s="47"/>
      <c r="AX131" s="53">
        <f t="shared" si="32"/>
        <v>0</v>
      </c>
      <c r="AY131" s="51"/>
      <c r="AZ131" s="359">
        <f t="shared" si="33"/>
        <v>0</v>
      </c>
    </row>
    <row r="132" spans="1:54" s="36" customFormat="1" ht="15.75" x14ac:dyDescent="0.25">
      <c r="A132" s="113" t="s">
        <v>738</v>
      </c>
      <c r="B132" s="114" t="s">
        <v>740</v>
      </c>
      <c r="C132" s="52" t="s">
        <v>563</v>
      </c>
      <c r="D132" s="87" t="s">
        <v>704</v>
      </c>
      <c r="E132" s="57" t="s">
        <v>149</v>
      </c>
      <c r="F132" s="52" t="s">
        <v>623</v>
      </c>
      <c r="G132" s="52"/>
      <c r="H132" s="52"/>
      <c r="I132" s="52"/>
      <c r="J132" s="87">
        <v>44596</v>
      </c>
      <c r="K132" s="87"/>
      <c r="L132" s="87">
        <f>J132+90</f>
        <v>44686</v>
      </c>
      <c r="M132" s="87"/>
      <c r="N132" s="50">
        <f t="shared" si="35"/>
        <v>90</v>
      </c>
      <c r="O132" s="52" t="s">
        <v>320</v>
      </c>
      <c r="P132" s="52">
        <f>L132+30</f>
        <v>44716</v>
      </c>
      <c r="Q132" s="52">
        <f>P132+(9*4.3*7)</f>
        <v>44986.9</v>
      </c>
      <c r="R132" s="52"/>
      <c r="S132" s="50">
        <f t="shared" si="27"/>
        <v>9.0000000000000497</v>
      </c>
      <c r="T132" s="50"/>
      <c r="U132" s="50"/>
      <c r="V132" s="53"/>
      <c r="W132" s="115">
        <v>0</v>
      </c>
      <c r="X132" s="115">
        <v>0</v>
      </c>
      <c r="Y132" s="115">
        <v>0</v>
      </c>
      <c r="Z132" s="115">
        <v>0</v>
      </c>
      <c r="AA132" s="115">
        <v>0</v>
      </c>
      <c r="AB132" s="115">
        <v>0</v>
      </c>
      <c r="AC132" s="115">
        <v>0</v>
      </c>
      <c r="AD132" s="115">
        <v>0</v>
      </c>
      <c r="AE132" s="115">
        <v>0</v>
      </c>
      <c r="AF132" s="115">
        <v>0</v>
      </c>
      <c r="AG132" s="115">
        <v>0</v>
      </c>
      <c r="AH132" s="115">
        <v>0</v>
      </c>
      <c r="AI132" s="53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3"/>
      <c r="AW132" s="47"/>
      <c r="AX132" s="53">
        <f t="shared" si="32"/>
        <v>0</v>
      </c>
      <c r="AY132" s="51"/>
      <c r="AZ132" s="359">
        <f t="shared" si="33"/>
        <v>0</v>
      </c>
      <c r="BB132" s="55"/>
    </row>
    <row r="133" spans="1:54" s="36" customFormat="1" ht="15.75" x14ac:dyDescent="0.25">
      <c r="A133" s="113"/>
      <c r="B133" s="114"/>
      <c r="C133" s="52" t="s">
        <v>45</v>
      </c>
      <c r="D133" s="87" t="s">
        <v>45</v>
      </c>
      <c r="E133" s="57"/>
      <c r="F133" s="52"/>
      <c r="G133" s="52"/>
      <c r="H133" s="52"/>
      <c r="I133" s="52"/>
      <c r="J133" s="87"/>
      <c r="K133" s="87"/>
      <c r="L133" s="87"/>
      <c r="M133" s="87"/>
      <c r="N133" s="50"/>
      <c r="O133" s="52"/>
      <c r="P133" s="52"/>
      <c r="Q133" s="52"/>
      <c r="R133" s="52"/>
      <c r="S133" s="378"/>
      <c r="T133" s="50"/>
      <c r="U133" s="50"/>
      <c r="V133" s="53"/>
      <c r="W133" s="115">
        <v>0</v>
      </c>
      <c r="X133" s="115">
        <v>0</v>
      </c>
      <c r="Y133" s="115">
        <v>0</v>
      </c>
      <c r="Z133" s="115">
        <v>0</v>
      </c>
      <c r="AA133" s="115">
        <v>0</v>
      </c>
      <c r="AB133" s="115">
        <v>0</v>
      </c>
      <c r="AC133" s="115">
        <v>0</v>
      </c>
      <c r="AD133" s="115">
        <v>0</v>
      </c>
      <c r="AE133" s="115">
        <v>0</v>
      </c>
      <c r="AF133" s="115">
        <v>0</v>
      </c>
      <c r="AG133" s="115">
        <v>0</v>
      </c>
      <c r="AH133" s="115">
        <v>0</v>
      </c>
      <c r="AI133" s="53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3"/>
      <c r="AW133" s="47"/>
      <c r="AX133" s="53">
        <f t="shared" si="32"/>
        <v>0</v>
      </c>
      <c r="AY133" s="51"/>
      <c r="AZ133" s="359">
        <f t="shared" si="33"/>
        <v>0</v>
      </c>
    </row>
    <row r="134" spans="1:54" s="36" customFormat="1" ht="15.75" x14ac:dyDescent="0.25">
      <c r="A134" s="113"/>
      <c r="B134" s="114"/>
      <c r="C134" s="52"/>
      <c r="D134" s="87"/>
      <c r="E134" s="57"/>
      <c r="F134" s="52"/>
      <c r="G134" s="52"/>
      <c r="H134" s="87"/>
      <c r="I134" s="87"/>
      <c r="J134" s="87"/>
      <c r="K134" s="87"/>
      <c r="L134" s="87"/>
      <c r="M134" s="87"/>
      <c r="N134" s="50"/>
      <c r="O134" s="52"/>
      <c r="P134" s="52"/>
      <c r="Q134" s="52"/>
      <c r="R134" s="52"/>
      <c r="S134" s="378"/>
      <c r="T134" s="50"/>
      <c r="U134" s="50"/>
      <c r="V134" s="53"/>
      <c r="W134" s="115">
        <v>0</v>
      </c>
      <c r="X134" s="115">
        <v>0</v>
      </c>
      <c r="Y134" s="115">
        <v>0</v>
      </c>
      <c r="Z134" s="115">
        <v>0</v>
      </c>
      <c r="AA134" s="115">
        <v>0</v>
      </c>
      <c r="AB134" s="115">
        <v>0</v>
      </c>
      <c r="AC134" s="115">
        <v>0</v>
      </c>
      <c r="AD134" s="115">
        <v>0</v>
      </c>
      <c r="AE134" s="115">
        <v>0</v>
      </c>
      <c r="AF134" s="115">
        <v>0</v>
      </c>
      <c r="AG134" s="115">
        <v>0</v>
      </c>
      <c r="AH134" s="115">
        <v>0</v>
      </c>
      <c r="AI134" s="53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3"/>
      <c r="AW134" s="47"/>
      <c r="AX134" s="53">
        <f t="shared" si="32"/>
        <v>0</v>
      </c>
      <c r="AY134" s="51"/>
      <c r="AZ134" s="359">
        <f t="shared" si="33"/>
        <v>0</v>
      </c>
    </row>
    <row r="135" spans="1:54" s="36" customFormat="1" ht="15.75" x14ac:dyDescent="0.25">
      <c r="A135" s="99"/>
      <c r="B135" s="100"/>
      <c r="C135" s="91"/>
      <c r="D135" s="91"/>
      <c r="E135" s="100"/>
      <c r="F135" s="91"/>
      <c r="G135" s="91"/>
      <c r="H135" s="91"/>
      <c r="I135" s="91"/>
      <c r="J135" s="91"/>
      <c r="K135" s="91"/>
      <c r="L135" s="91"/>
      <c r="M135" s="91"/>
      <c r="N135" s="92"/>
      <c r="O135" s="91"/>
      <c r="P135" s="91"/>
      <c r="Q135" s="91"/>
      <c r="R135" s="91"/>
      <c r="S135" s="92"/>
      <c r="T135" s="92"/>
      <c r="U135" s="92"/>
      <c r="V135" s="59">
        <f t="shared" ref="V135:AV135" si="38">SUM(V89:V134)</f>
        <v>56617000</v>
      </c>
      <c r="W135" s="59">
        <f t="shared" si="38"/>
        <v>0</v>
      </c>
      <c r="X135" s="59">
        <f t="shared" si="38"/>
        <v>0</v>
      </c>
      <c r="Y135" s="59">
        <f t="shared" si="38"/>
        <v>0</v>
      </c>
      <c r="Z135" s="59">
        <f t="shared" si="38"/>
        <v>0</v>
      </c>
      <c r="AA135" s="59">
        <f t="shared" si="38"/>
        <v>0</v>
      </c>
      <c r="AB135" s="59">
        <f t="shared" si="38"/>
        <v>0</v>
      </c>
      <c r="AC135" s="59">
        <f t="shared" si="38"/>
        <v>0</v>
      </c>
      <c r="AD135" s="59">
        <f t="shared" si="38"/>
        <v>0</v>
      </c>
      <c r="AE135" s="59">
        <f t="shared" si="38"/>
        <v>0</v>
      </c>
      <c r="AF135" s="59">
        <f t="shared" si="38"/>
        <v>0</v>
      </c>
      <c r="AG135" s="59">
        <f t="shared" si="38"/>
        <v>0</v>
      </c>
      <c r="AH135" s="59">
        <f t="shared" si="38"/>
        <v>0</v>
      </c>
      <c r="AI135" s="59">
        <f t="shared" si="38"/>
        <v>450000</v>
      </c>
      <c r="AJ135" s="59">
        <f t="shared" si="38"/>
        <v>900000</v>
      </c>
      <c r="AK135" s="59">
        <f t="shared" si="38"/>
        <v>1225000</v>
      </c>
      <c r="AL135" s="59">
        <f t="shared" si="38"/>
        <v>2535000</v>
      </c>
      <c r="AM135" s="59">
        <f t="shared" si="38"/>
        <v>3280000</v>
      </c>
      <c r="AN135" s="59">
        <f t="shared" si="38"/>
        <v>4095000</v>
      </c>
      <c r="AO135" s="59">
        <f t="shared" si="38"/>
        <v>4670000</v>
      </c>
      <c r="AP135" s="59">
        <f t="shared" si="38"/>
        <v>4575000</v>
      </c>
      <c r="AQ135" s="59">
        <f t="shared" si="38"/>
        <v>4225000</v>
      </c>
      <c r="AR135" s="59">
        <f t="shared" si="38"/>
        <v>4808000</v>
      </c>
      <c r="AS135" s="59">
        <f t="shared" si="38"/>
        <v>3540000</v>
      </c>
      <c r="AT135" s="59">
        <f t="shared" si="38"/>
        <v>3325000</v>
      </c>
      <c r="AU135" s="59">
        <f t="shared" si="38"/>
        <v>2884000</v>
      </c>
      <c r="AV135" s="59">
        <f t="shared" si="38"/>
        <v>15680000</v>
      </c>
      <c r="AW135" s="47"/>
      <c r="AX135" s="53">
        <f t="shared" si="32"/>
        <v>56192000</v>
      </c>
      <c r="AY135" s="51"/>
      <c r="AZ135" s="359">
        <f t="shared" si="33"/>
        <v>-425000</v>
      </c>
      <c r="BA135" s="55"/>
    </row>
    <row r="136" spans="1:54" s="36" customFormat="1" ht="16.5" thickBot="1" x14ac:dyDescent="0.3">
      <c r="A136" s="34"/>
      <c r="B136" s="35"/>
      <c r="C136" s="52"/>
      <c r="D136" s="52"/>
      <c r="E136" s="35"/>
      <c r="F136" s="52"/>
      <c r="G136" s="52"/>
      <c r="H136" s="52"/>
      <c r="I136" s="52"/>
      <c r="J136" s="52"/>
      <c r="K136" s="52"/>
      <c r="L136" s="52"/>
      <c r="M136" s="52"/>
      <c r="N136" s="50"/>
      <c r="O136" s="52"/>
      <c r="P136" s="52"/>
      <c r="Q136" s="141"/>
      <c r="R136" s="141"/>
      <c r="S136" s="142"/>
      <c r="T136" s="142"/>
      <c r="U136" s="142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4"/>
      <c r="AX136" s="143"/>
      <c r="AY136" s="145"/>
      <c r="AZ136" s="359">
        <f>AX136-V136</f>
        <v>0</v>
      </c>
    </row>
    <row r="137" spans="1:54" s="36" customFormat="1" ht="16.5" thickBot="1" x14ac:dyDescent="0.3">
      <c r="C137" s="37"/>
      <c r="D137" s="37"/>
      <c r="F137" s="37"/>
      <c r="G137" s="37"/>
      <c r="H137" s="37"/>
      <c r="I137" s="37"/>
      <c r="J137" s="293"/>
      <c r="K137" s="293"/>
      <c r="L137" s="293"/>
      <c r="M137" s="293"/>
      <c r="N137" s="38"/>
      <c r="O137" s="37"/>
      <c r="P137" s="37"/>
      <c r="Q137" s="338"/>
      <c r="R137" s="70"/>
      <c r="S137" s="148" t="s">
        <v>445</v>
      </c>
      <c r="T137" s="148"/>
      <c r="U137" s="148"/>
      <c r="V137" s="149">
        <f t="shared" ref="V137:AG137" si="39">V21+V87+V42+V47+V50+V54+V63+V84+V38+V135+V66+V26</f>
        <v>130408632</v>
      </c>
      <c r="W137" s="149">
        <f t="shared" si="39"/>
        <v>13013591</v>
      </c>
      <c r="X137" s="149">
        <f t="shared" si="39"/>
        <v>3809122</v>
      </c>
      <c r="Y137" s="149">
        <f t="shared" si="39"/>
        <v>2368676</v>
      </c>
      <c r="Z137" s="149">
        <f t="shared" si="39"/>
        <v>3804063</v>
      </c>
      <c r="AA137" s="149">
        <f t="shared" si="39"/>
        <v>3872041</v>
      </c>
      <c r="AB137" s="149">
        <f t="shared" si="39"/>
        <v>3312584</v>
      </c>
      <c r="AC137" s="149">
        <f t="shared" si="39"/>
        <v>4748195</v>
      </c>
      <c r="AD137" s="149">
        <f t="shared" si="39"/>
        <v>3013953</v>
      </c>
      <c r="AE137" s="149">
        <f t="shared" si="39"/>
        <v>6336751</v>
      </c>
      <c r="AF137" s="149">
        <f t="shared" si="39"/>
        <v>3425694.1500000004</v>
      </c>
      <c r="AG137" s="149">
        <f t="shared" si="39"/>
        <v>2933510.96</v>
      </c>
      <c r="AH137" s="149">
        <f>AH21+AH87+AH42+AH47+AH50+AH54+AH63+AH84+AH38+AH135+AH66+AH26</f>
        <v>3237955.33</v>
      </c>
      <c r="AI137" s="149">
        <f t="shared" ref="AI137:AV137" si="40">AI12+AI87+AI42+AI47+AI50+AI54+AI63+AI84+AI38+AI135+AI66</f>
        <v>2928674</v>
      </c>
      <c r="AJ137" s="149">
        <f t="shared" si="40"/>
        <v>3255254.76</v>
      </c>
      <c r="AK137" s="149">
        <f t="shared" si="40"/>
        <v>3445000</v>
      </c>
      <c r="AL137" s="149">
        <f t="shared" si="40"/>
        <v>4685011</v>
      </c>
      <c r="AM137" s="149">
        <f t="shared" si="40"/>
        <v>5285199.17</v>
      </c>
      <c r="AN137" s="149">
        <f t="shared" si="40"/>
        <v>5569121</v>
      </c>
      <c r="AO137" s="149">
        <f t="shared" si="40"/>
        <v>5922341.3300000001</v>
      </c>
      <c r="AP137" s="149">
        <f t="shared" si="40"/>
        <v>5575000</v>
      </c>
      <c r="AQ137" s="149">
        <f t="shared" si="40"/>
        <v>5225000</v>
      </c>
      <c r="AR137" s="149">
        <f t="shared" si="40"/>
        <v>5808000</v>
      </c>
      <c r="AS137" s="149">
        <f t="shared" si="40"/>
        <v>3977705.01</v>
      </c>
      <c r="AT137" s="149">
        <f t="shared" si="40"/>
        <v>3325000</v>
      </c>
      <c r="AU137" s="149">
        <f t="shared" si="40"/>
        <v>2884000</v>
      </c>
      <c r="AV137" s="149">
        <f t="shared" si="40"/>
        <v>15680000</v>
      </c>
      <c r="AW137" s="150"/>
      <c r="AX137" s="152">
        <f>SUM(W137:AW137)</f>
        <v>127441442.70999999</v>
      </c>
      <c r="AY137" s="153"/>
      <c r="AZ137" s="359">
        <f>AX137-V137</f>
        <v>-2967189.2900000066</v>
      </c>
      <c r="BA137" s="55"/>
    </row>
    <row r="138" spans="1:54" s="90" customFormat="1" ht="15.75" x14ac:dyDescent="0.25">
      <c r="C138" s="122"/>
      <c r="D138" s="122"/>
      <c r="F138" s="122"/>
      <c r="G138" s="122"/>
      <c r="H138" s="122"/>
      <c r="I138" s="122"/>
      <c r="J138" s="295"/>
      <c r="K138" s="295"/>
      <c r="L138" s="295"/>
      <c r="M138" s="295"/>
      <c r="N138" s="296"/>
      <c r="O138" s="122"/>
      <c r="P138" s="122"/>
      <c r="Q138" s="123"/>
      <c r="R138" s="123"/>
      <c r="S138" s="124"/>
      <c r="T138" s="124"/>
      <c r="U138" s="124"/>
      <c r="V138" s="124" t="s">
        <v>405</v>
      </c>
      <c r="W138" s="125">
        <v>14657045</v>
      </c>
      <c r="X138" s="128">
        <v>2798117.1428571427</v>
      </c>
      <c r="Y138" s="128">
        <v>3206824.6428571427</v>
      </c>
      <c r="Z138" s="128">
        <v>4008392.6428571427</v>
      </c>
      <c r="AA138" s="128">
        <v>4318997.6428571427</v>
      </c>
      <c r="AB138" s="128">
        <v>5069566.6428571418</v>
      </c>
      <c r="AC138" s="128">
        <v>5575814.6428571418</v>
      </c>
      <c r="AD138" s="128">
        <v>5314704.6428571418</v>
      </c>
      <c r="AE138" s="128">
        <v>5476840</v>
      </c>
      <c r="AF138" s="128">
        <v>5359959</v>
      </c>
      <c r="AG138" s="128">
        <v>6173564</v>
      </c>
      <c r="AH138" s="128">
        <v>5501722</v>
      </c>
      <c r="AI138" s="128">
        <v>3866535</v>
      </c>
      <c r="AJ138" s="128">
        <v>3500000</v>
      </c>
      <c r="AK138" s="128">
        <v>3500000</v>
      </c>
      <c r="AL138" s="128">
        <v>5000000</v>
      </c>
      <c r="AM138" s="128">
        <v>6000000</v>
      </c>
      <c r="AN138" s="128">
        <v>6825000</v>
      </c>
      <c r="AO138" s="128">
        <v>7100000</v>
      </c>
      <c r="AP138" s="128">
        <v>7100000</v>
      </c>
      <c r="AQ138" s="128">
        <v>7000000</v>
      </c>
      <c r="AR138" s="128">
        <v>6500000</v>
      </c>
      <c r="AS138" s="128">
        <v>6500000</v>
      </c>
      <c r="AT138" s="128">
        <v>6500000</v>
      </c>
      <c r="AU138" s="128">
        <v>6500000</v>
      </c>
      <c r="AV138" s="128">
        <v>80000000</v>
      </c>
      <c r="AW138" s="146"/>
      <c r="AX138" s="125"/>
      <c r="AY138" s="126"/>
      <c r="AZ138" s="360"/>
    </row>
    <row r="139" spans="1:54" ht="15.75" x14ac:dyDescent="0.25">
      <c r="Q139" s="75"/>
      <c r="R139" s="75"/>
      <c r="V139" s="38" t="s">
        <v>406</v>
      </c>
      <c r="W139" s="128">
        <f>W137-W138</f>
        <v>-1643454</v>
      </c>
      <c r="X139" s="128">
        <f>X137-X138</f>
        <v>1011004.8571428573</v>
      </c>
      <c r="Y139" s="128">
        <f t="shared" ref="Y139:AV139" si="41">Y137-Y138</f>
        <v>-838148.64285714272</v>
      </c>
      <c r="Z139" s="128">
        <f t="shared" si="41"/>
        <v>-204329.64285714272</v>
      </c>
      <c r="AA139" s="128">
        <f t="shared" si="41"/>
        <v>-446956.64285714272</v>
      </c>
      <c r="AB139" s="128">
        <f t="shared" si="41"/>
        <v>-1756982.6428571418</v>
      </c>
      <c r="AC139" s="128">
        <f t="shared" si="41"/>
        <v>-827619.64285714179</v>
      </c>
      <c r="AD139" s="128">
        <f t="shared" si="41"/>
        <v>-2300751.6428571418</v>
      </c>
      <c r="AE139" s="128">
        <f t="shared" si="41"/>
        <v>859911</v>
      </c>
      <c r="AF139" s="128">
        <f t="shared" si="41"/>
        <v>-1934264.8499999996</v>
      </c>
      <c r="AG139" s="128">
        <f t="shared" si="41"/>
        <v>-3240053.04</v>
      </c>
      <c r="AH139" s="128">
        <f t="shared" si="41"/>
        <v>-2263766.67</v>
      </c>
      <c r="AI139" s="128">
        <f t="shared" si="41"/>
        <v>-937861</v>
      </c>
      <c r="AJ139" s="128">
        <f t="shared" si="41"/>
        <v>-244745.24000000022</v>
      </c>
      <c r="AK139" s="128">
        <f t="shared" si="41"/>
        <v>-55000</v>
      </c>
      <c r="AL139" s="128">
        <f t="shared" si="41"/>
        <v>-314989</v>
      </c>
      <c r="AM139" s="128">
        <f t="shared" si="41"/>
        <v>-714800.83000000007</v>
      </c>
      <c r="AN139" s="128">
        <f t="shared" si="41"/>
        <v>-1255879</v>
      </c>
      <c r="AO139" s="128">
        <f t="shared" si="41"/>
        <v>-1177658.67</v>
      </c>
      <c r="AP139" s="128">
        <f t="shared" si="41"/>
        <v>-1525000</v>
      </c>
      <c r="AQ139" s="128">
        <f t="shared" si="41"/>
        <v>-1775000</v>
      </c>
      <c r="AR139" s="128">
        <f t="shared" si="41"/>
        <v>-692000</v>
      </c>
      <c r="AS139" s="128">
        <f t="shared" si="41"/>
        <v>-2522294.9900000002</v>
      </c>
      <c r="AT139" s="128">
        <f t="shared" si="41"/>
        <v>-3175000</v>
      </c>
      <c r="AU139" s="128">
        <f t="shared" si="41"/>
        <v>-3616000</v>
      </c>
      <c r="AV139" s="128">
        <f t="shared" si="41"/>
        <v>-64320000</v>
      </c>
      <c r="AW139" s="47"/>
      <c r="AX139" s="76"/>
      <c r="AY139" s="77"/>
      <c r="AZ139" s="360"/>
    </row>
    <row r="140" spans="1:54" ht="15.75" x14ac:dyDescent="0.25">
      <c r="V140" s="38"/>
      <c r="X140" s="278"/>
      <c r="Y140" s="130"/>
      <c r="Z140" s="130"/>
      <c r="AA140" s="133"/>
      <c r="AB140" s="133"/>
      <c r="AC140" s="133"/>
      <c r="AD140" s="130"/>
      <c r="AE140" s="130"/>
      <c r="AF140" s="130"/>
      <c r="AG140" s="130"/>
      <c r="AH140" s="130"/>
      <c r="AI140" s="278"/>
      <c r="AJ140" s="278"/>
      <c r="AK140" s="278"/>
      <c r="AL140" s="278"/>
      <c r="AM140" s="278"/>
      <c r="AN140" s="278"/>
      <c r="AO140" s="278"/>
      <c r="AP140" s="278"/>
      <c r="AQ140" s="278"/>
      <c r="AR140" s="278"/>
      <c r="AS140" s="278"/>
      <c r="AT140" s="278"/>
      <c r="AU140" s="379">
        <v>2021</v>
      </c>
      <c r="AV140" s="130">
        <v>45000000</v>
      </c>
      <c r="AW140" s="47"/>
      <c r="AZ140" s="360"/>
    </row>
    <row r="141" spans="1:54" ht="15.75" x14ac:dyDescent="0.25">
      <c r="V141" s="38" t="s">
        <v>407</v>
      </c>
      <c r="X141" s="140">
        <v>2897650</v>
      </c>
      <c r="Y141" s="136">
        <v>3085444</v>
      </c>
      <c r="Z141" s="136">
        <v>3369732</v>
      </c>
      <c r="AA141" s="133"/>
      <c r="AB141" s="133"/>
      <c r="AC141" s="133"/>
      <c r="AD141" s="130"/>
      <c r="AE141" s="130"/>
      <c r="AF141" s="130"/>
      <c r="AG141" s="130"/>
      <c r="AH141" s="130"/>
      <c r="AI141" s="278"/>
      <c r="AJ141" s="278"/>
      <c r="AK141" s="278"/>
      <c r="AL141" s="278"/>
      <c r="AM141" s="278"/>
      <c r="AN141" s="278"/>
      <c r="AO141" s="278"/>
      <c r="AP141" s="278"/>
      <c r="AQ141" s="278"/>
      <c r="AR141" s="278"/>
      <c r="AS141" s="278"/>
      <c r="AT141" s="278"/>
      <c r="AU141" s="379">
        <v>2022</v>
      </c>
      <c r="AV141" s="130">
        <v>60000000</v>
      </c>
      <c r="AW141" s="47"/>
      <c r="AZ141" s="360"/>
    </row>
    <row r="142" spans="1:54" ht="15.75" x14ac:dyDescent="0.25">
      <c r="V142" s="38" t="s">
        <v>408</v>
      </c>
      <c r="X142" s="278">
        <f>(X138*0.9)*0.887</f>
        <v>2233736.915142857</v>
      </c>
      <c r="Y142" s="130">
        <f t="shared" ref="Y142:AJ142" si="42">(Y138*0.9)*0.887</f>
        <v>2560008.1123928572</v>
      </c>
      <c r="Z142" s="130">
        <f t="shared" si="42"/>
        <v>3199899.8467928572</v>
      </c>
      <c r="AA142" s="130">
        <f t="shared" si="42"/>
        <v>3447855.8182928571</v>
      </c>
      <c r="AB142" s="130">
        <f t="shared" si="42"/>
        <v>4047035.0509928567</v>
      </c>
      <c r="AC142" s="130">
        <f t="shared" si="42"/>
        <v>4451172.8293928569</v>
      </c>
      <c r="AD142" s="130">
        <f t="shared" si="42"/>
        <v>4242728.716392857</v>
      </c>
      <c r="AE142" s="130">
        <f t="shared" si="42"/>
        <v>4372161.3720000004</v>
      </c>
      <c r="AF142" s="130">
        <f t="shared" si="42"/>
        <v>4278855.269700001</v>
      </c>
      <c r="AG142" s="130">
        <f t="shared" si="42"/>
        <v>4928356.1412000004</v>
      </c>
      <c r="AH142" s="130">
        <f t="shared" si="42"/>
        <v>4392024.6726000002</v>
      </c>
      <c r="AI142" s="278">
        <f t="shared" si="42"/>
        <v>3086654.8905000002</v>
      </c>
      <c r="AJ142" s="278">
        <f t="shared" si="42"/>
        <v>2794050</v>
      </c>
      <c r="AK142" s="278"/>
      <c r="AL142" s="278"/>
      <c r="AM142" s="278"/>
      <c r="AN142" s="278"/>
      <c r="AO142" s="278"/>
      <c r="AP142" s="278"/>
      <c r="AQ142" s="278"/>
      <c r="AR142" s="278"/>
      <c r="AS142" s="278"/>
      <c r="AT142" s="278"/>
      <c r="AU142" s="379">
        <v>2023</v>
      </c>
      <c r="AV142" s="130">
        <f>60000000*1.2</f>
        <v>72000000</v>
      </c>
      <c r="AW142" s="47"/>
      <c r="AZ142" s="360"/>
    </row>
    <row r="143" spans="1:54" ht="15.75" x14ac:dyDescent="0.25">
      <c r="V143" s="38" t="s">
        <v>406</v>
      </c>
      <c r="X143" s="278">
        <f>X141-X142</f>
        <v>663913.084857143</v>
      </c>
      <c r="Y143" s="130">
        <f>Y141-Y142</f>
        <v>525435.88760714279</v>
      </c>
      <c r="Z143" s="130">
        <f>Z141-Z142</f>
        <v>169832.15320714284</v>
      </c>
      <c r="AA143" s="130"/>
      <c r="AB143" s="130"/>
      <c r="AC143" s="130"/>
      <c r="AD143" s="130"/>
      <c r="AE143" s="130"/>
      <c r="AF143" s="130"/>
      <c r="AG143" s="130"/>
      <c r="AH143" s="130"/>
      <c r="AI143" s="278"/>
      <c r="AJ143" s="278"/>
      <c r="AK143" s="278"/>
      <c r="AL143" s="278"/>
      <c r="AM143" s="278"/>
      <c r="AN143" s="278"/>
      <c r="AO143" s="278"/>
      <c r="AP143" s="278"/>
      <c r="AQ143" s="278"/>
      <c r="AR143" s="278"/>
      <c r="AS143" s="278"/>
      <c r="AT143" s="278"/>
      <c r="AU143" s="379">
        <v>2024</v>
      </c>
      <c r="AV143" s="130">
        <f>AV142*1.2</f>
        <v>86400000</v>
      </c>
      <c r="AW143" s="47"/>
      <c r="AZ143" s="360"/>
    </row>
    <row r="144" spans="1:54" ht="15.75" x14ac:dyDescent="0.25">
      <c r="V144" s="38"/>
      <c r="X144" s="278"/>
      <c r="Y144" s="130"/>
      <c r="Z144" s="130"/>
      <c r="AA144" s="133"/>
      <c r="AB144" s="133"/>
      <c r="AC144" s="133"/>
      <c r="AD144" s="130"/>
      <c r="AE144" s="130"/>
      <c r="AF144" s="130"/>
      <c r="AG144" s="130"/>
      <c r="AH144" s="130"/>
      <c r="AI144" s="278"/>
      <c r="AJ144" s="278"/>
      <c r="AK144" s="278"/>
      <c r="AL144" s="278"/>
      <c r="AM144" s="278"/>
      <c r="AN144" s="278"/>
      <c r="AO144" s="278"/>
      <c r="AP144" s="278"/>
      <c r="AQ144" s="278"/>
      <c r="AR144" s="278"/>
      <c r="AS144" s="278"/>
      <c r="AT144" s="278"/>
      <c r="AU144" s="379">
        <v>2025</v>
      </c>
      <c r="AV144" s="130">
        <f t="shared" ref="AV144:AV152" si="43">AV143*1.15</f>
        <v>99359999.999999985</v>
      </c>
      <c r="AW144" s="47"/>
      <c r="AZ144" s="360"/>
    </row>
    <row r="145" spans="1:52" ht="15.75" x14ac:dyDescent="0.25">
      <c r="V145" s="38" t="s">
        <v>409</v>
      </c>
      <c r="X145" s="140">
        <v>261214</v>
      </c>
      <c r="Y145" s="136">
        <v>325090</v>
      </c>
      <c r="Z145" s="136">
        <v>157521</v>
      </c>
      <c r="AA145" s="133"/>
      <c r="AB145" s="133"/>
      <c r="AC145" s="133"/>
      <c r="AD145" s="130"/>
      <c r="AE145" s="130"/>
      <c r="AF145" s="130"/>
      <c r="AG145" s="130"/>
      <c r="AH145" s="130"/>
      <c r="AI145" s="278"/>
      <c r="AJ145" s="278"/>
      <c r="AK145" s="278"/>
      <c r="AL145" s="278"/>
      <c r="AM145" s="278"/>
      <c r="AN145" s="278"/>
      <c r="AO145" s="278"/>
      <c r="AP145" s="278"/>
      <c r="AQ145" s="278"/>
      <c r="AR145" s="278"/>
      <c r="AS145" s="278"/>
      <c r="AT145" s="278"/>
      <c r="AU145" s="379">
        <v>2026</v>
      </c>
      <c r="AV145" s="130">
        <f t="shared" si="43"/>
        <v>114263999.99999997</v>
      </c>
      <c r="AW145" s="47"/>
      <c r="AZ145" s="360"/>
    </row>
    <row r="146" spans="1:52" ht="15.75" x14ac:dyDescent="0.25">
      <c r="V146" s="38" t="s">
        <v>410</v>
      </c>
      <c r="X146" s="278">
        <f t="shared" ref="X146:AI146" si="44">(X138*0.877)*0.1</f>
        <v>245394.87342857142</v>
      </c>
      <c r="Y146" s="130">
        <f t="shared" si="44"/>
        <v>281238.52117857145</v>
      </c>
      <c r="Z146" s="130">
        <f t="shared" si="44"/>
        <v>351536.03477857145</v>
      </c>
      <c r="AA146" s="130">
        <f t="shared" si="44"/>
        <v>378776.09327857144</v>
      </c>
      <c r="AB146" s="130">
        <f t="shared" si="44"/>
        <v>444600.99457857135</v>
      </c>
      <c r="AC146" s="130">
        <f t="shared" si="44"/>
        <v>488998.9441785714</v>
      </c>
      <c r="AD146" s="130">
        <f t="shared" si="44"/>
        <v>466099.59717857133</v>
      </c>
      <c r="AE146" s="130">
        <f t="shared" si="44"/>
        <v>480318.86800000002</v>
      </c>
      <c r="AF146" s="130">
        <f t="shared" si="44"/>
        <v>470068.40429999999</v>
      </c>
      <c r="AG146" s="130">
        <f t="shared" si="44"/>
        <v>541421.56279999996</v>
      </c>
      <c r="AH146" s="130">
        <f t="shared" si="44"/>
        <v>482501.01940000005</v>
      </c>
      <c r="AI146" s="278">
        <f t="shared" si="44"/>
        <v>339095.11950000003</v>
      </c>
      <c r="AJ146" s="278">
        <f>(AJ138*0.877)*0.1</f>
        <v>306950</v>
      </c>
      <c r="AK146" s="278"/>
      <c r="AL146" s="278"/>
      <c r="AM146" s="278"/>
      <c r="AN146" s="278"/>
      <c r="AO146" s="278"/>
      <c r="AP146" s="278"/>
      <c r="AQ146" s="278"/>
      <c r="AR146" s="278"/>
      <c r="AS146" s="278"/>
      <c r="AT146" s="278"/>
      <c r="AU146" s="379">
        <v>2027</v>
      </c>
      <c r="AV146" s="130">
        <f t="shared" si="43"/>
        <v>131403599.99999996</v>
      </c>
      <c r="AW146" s="47"/>
      <c r="AZ146" s="360"/>
    </row>
    <row r="147" spans="1:52" ht="15.75" x14ac:dyDescent="0.25">
      <c r="Q147" s="75"/>
      <c r="R147" s="75"/>
      <c r="V147" s="38" t="s">
        <v>406</v>
      </c>
      <c r="W147" s="125"/>
      <c r="X147" s="128">
        <f>X145-X146</f>
        <v>15819.126571428584</v>
      </c>
      <c r="Y147" s="128">
        <f>Y145-Y146</f>
        <v>43851.478821428551</v>
      </c>
      <c r="Z147" s="128">
        <f>Z145-Z146</f>
        <v>-194015.03477857145</v>
      </c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379">
        <v>2028</v>
      </c>
      <c r="AV147" s="130">
        <f t="shared" si="43"/>
        <v>151114139.99999994</v>
      </c>
      <c r="AW147" s="47"/>
      <c r="AX147" s="76"/>
      <c r="AY147" s="77"/>
      <c r="AZ147" s="360"/>
    </row>
    <row r="148" spans="1:52" ht="15.75" x14ac:dyDescent="0.25">
      <c r="Q148" s="75"/>
      <c r="R148" s="75"/>
      <c r="V148" s="38"/>
      <c r="W148" s="125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379">
        <v>2029</v>
      </c>
      <c r="AV148" s="130">
        <f t="shared" si="43"/>
        <v>173781260.99999991</v>
      </c>
      <c r="AW148" s="47"/>
      <c r="AX148" s="76"/>
      <c r="AY148" s="77"/>
      <c r="AZ148" s="360"/>
    </row>
    <row r="149" spans="1:52" ht="15.75" x14ac:dyDescent="0.25">
      <c r="Q149" s="75"/>
      <c r="R149" s="75"/>
      <c r="V149" s="38" t="s">
        <v>411</v>
      </c>
      <c r="W149" s="125"/>
      <c r="X149" s="139">
        <v>9.01E-2</v>
      </c>
      <c r="Y149" s="139">
        <v>0.10539999999999999</v>
      </c>
      <c r="Z149" s="139">
        <v>4.6699999999999998E-2</v>
      </c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379">
        <v>2030</v>
      </c>
      <c r="AV149" s="130">
        <f t="shared" si="43"/>
        <v>199848450.14999989</v>
      </c>
      <c r="AW149" s="47"/>
      <c r="AX149" s="76"/>
      <c r="AY149" s="77"/>
      <c r="AZ149" s="360"/>
    </row>
    <row r="150" spans="1:52" ht="15.75" x14ac:dyDescent="0.25">
      <c r="Q150" s="75"/>
      <c r="R150" s="75"/>
      <c r="V150" s="38" t="s">
        <v>412</v>
      </c>
      <c r="W150" s="125"/>
      <c r="X150" s="137">
        <v>0.1</v>
      </c>
      <c r="Y150" s="137">
        <v>0.1</v>
      </c>
      <c r="Z150" s="137">
        <v>0.1</v>
      </c>
      <c r="AA150" s="137">
        <v>0.1</v>
      </c>
      <c r="AB150" s="137">
        <v>0.1</v>
      </c>
      <c r="AC150" s="137">
        <v>0.1</v>
      </c>
      <c r="AD150" s="137">
        <v>0.1</v>
      </c>
      <c r="AE150" s="137">
        <v>0.1</v>
      </c>
      <c r="AF150" s="137">
        <v>0.1</v>
      </c>
      <c r="AG150" s="137">
        <v>0.1</v>
      </c>
      <c r="AH150" s="137">
        <v>0.1</v>
      </c>
      <c r="AI150" s="137">
        <v>0.1</v>
      </c>
      <c r="AJ150" s="137">
        <v>0.1</v>
      </c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379">
        <v>2031</v>
      </c>
      <c r="AV150" s="130">
        <f t="shared" si="43"/>
        <v>229825717.67249987</v>
      </c>
      <c r="AW150" s="47"/>
      <c r="AX150" s="76"/>
      <c r="AY150" s="77"/>
      <c r="AZ150" s="360"/>
    </row>
    <row r="151" spans="1:52" ht="15.75" x14ac:dyDescent="0.25">
      <c r="Q151" s="75"/>
      <c r="R151" s="75"/>
      <c r="V151" s="38" t="s">
        <v>406</v>
      </c>
      <c r="W151" s="125"/>
      <c r="X151" s="138">
        <f>X149-X150</f>
        <v>-9.900000000000006E-3</v>
      </c>
      <c r="Y151" s="138">
        <f>Y149-Y150</f>
        <v>5.3999999999999881E-3</v>
      </c>
      <c r="Z151" s="138">
        <f>Z149-Z150</f>
        <v>-5.3300000000000007E-2</v>
      </c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379">
        <v>2032</v>
      </c>
      <c r="AV151" s="130">
        <f t="shared" si="43"/>
        <v>264299575.32337484</v>
      </c>
      <c r="AW151" s="47"/>
      <c r="AX151" s="76"/>
      <c r="AY151" s="77"/>
      <c r="AZ151" s="360"/>
    </row>
    <row r="152" spans="1:52" ht="15.75" x14ac:dyDescent="0.25">
      <c r="V152" s="38"/>
      <c r="X152" s="278"/>
      <c r="Y152" s="130"/>
      <c r="Z152" s="130"/>
      <c r="AA152" s="133"/>
      <c r="AB152" s="133"/>
      <c r="AC152" s="133"/>
      <c r="AD152" s="130"/>
      <c r="AE152" s="130"/>
      <c r="AF152" s="130"/>
      <c r="AG152" s="130"/>
      <c r="AH152" s="130"/>
      <c r="AI152" s="278"/>
      <c r="AJ152" s="278"/>
      <c r="AK152" s="278"/>
      <c r="AL152" s="278"/>
      <c r="AM152" s="278"/>
      <c r="AN152" s="278"/>
      <c r="AO152" s="278"/>
      <c r="AP152" s="278"/>
      <c r="AQ152" s="278"/>
      <c r="AR152" s="278"/>
      <c r="AS152" s="278"/>
      <c r="AT152" s="278"/>
      <c r="AU152" s="379">
        <v>2033</v>
      </c>
      <c r="AV152" s="130">
        <f t="shared" si="43"/>
        <v>303944511.62188107</v>
      </c>
      <c r="AW152" s="47"/>
      <c r="AZ152" s="360"/>
    </row>
    <row r="153" spans="1:52" ht="15.75" x14ac:dyDescent="0.25">
      <c r="V153" s="38" t="s">
        <v>413</v>
      </c>
      <c r="X153" s="140">
        <v>256248</v>
      </c>
      <c r="Y153" s="201">
        <v>250107</v>
      </c>
      <c r="Z153" s="202">
        <v>305940</v>
      </c>
      <c r="AA153" s="131"/>
      <c r="AB153" s="133"/>
      <c r="AC153" s="133"/>
      <c r="AD153" s="130"/>
      <c r="AE153" s="130"/>
      <c r="AF153" s="130"/>
      <c r="AG153" s="130"/>
      <c r="AH153" s="130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130"/>
      <c r="AW153" s="47"/>
      <c r="AZ153" s="360"/>
    </row>
    <row r="154" spans="1:52" ht="15.75" x14ac:dyDescent="0.25">
      <c r="V154" s="38" t="s">
        <v>414</v>
      </c>
      <c r="X154" s="131">
        <v>275000</v>
      </c>
      <c r="Y154" s="131">
        <v>275000</v>
      </c>
      <c r="Z154" s="131">
        <v>275000</v>
      </c>
      <c r="AA154" s="131">
        <v>293000</v>
      </c>
      <c r="AB154" s="131">
        <v>293000</v>
      </c>
      <c r="AC154" s="131">
        <v>293000</v>
      </c>
      <c r="AD154" s="131">
        <v>300000</v>
      </c>
      <c r="AE154" s="131">
        <v>300000</v>
      </c>
      <c r="AF154" s="131">
        <v>300000</v>
      </c>
      <c r="AG154" s="131">
        <v>300000</v>
      </c>
      <c r="AH154" s="131">
        <v>300000</v>
      </c>
      <c r="AI154" s="131">
        <v>300000</v>
      </c>
      <c r="AJ154" s="131">
        <v>300000</v>
      </c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0"/>
      <c r="AW154" s="47"/>
      <c r="AZ154" s="360"/>
    </row>
    <row r="155" spans="1:52" ht="15.75" x14ac:dyDescent="0.25">
      <c r="Q155" s="75"/>
      <c r="R155" s="75"/>
      <c r="V155" s="38" t="s">
        <v>406</v>
      </c>
      <c r="W155" s="125"/>
      <c r="X155" s="128">
        <f>X154-X153</f>
        <v>18752</v>
      </c>
      <c r="Y155" s="128">
        <f>Y154-Y153</f>
        <v>24893</v>
      </c>
      <c r="Z155" s="128">
        <f>Z154-Z153</f>
        <v>-30940</v>
      </c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47"/>
      <c r="AX155" s="76"/>
      <c r="AY155" s="77"/>
    </row>
    <row r="156" spans="1:52" ht="15.75" x14ac:dyDescent="0.25">
      <c r="V156" s="38"/>
      <c r="X156" s="131"/>
      <c r="Y156" s="134"/>
      <c r="Z156" s="135"/>
      <c r="AA156" s="131"/>
      <c r="AB156" s="133"/>
      <c r="AC156" s="133"/>
      <c r="AD156" s="130"/>
      <c r="AE156" s="130"/>
      <c r="AF156" s="130"/>
      <c r="AG156" s="130"/>
      <c r="AH156" s="130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130"/>
      <c r="AW156" s="47"/>
    </row>
    <row r="157" spans="1:52" s="78" customFormat="1" ht="15.75" x14ac:dyDescent="0.25">
      <c r="A157"/>
      <c r="B157"/>
      <c r="C157" s="74"/>
      <c r="D157" s="74"/>
      <c r="E157"/>
      <c r="F157" s="74"/>
      <c r="G157" s="74"/>
      <c r="H157" s="74"/>
      <c r="I157" s="74"/>
      <c r="J157" s="295"/>
      <c r="K157" s="295"/>
      <c r="L157" s="295"/>
      <c r="M157" s="295"/>
      <c r="N157" s="296"/>
      <c r="O157" s="74"/>
      <c r="P157" s="74"/>
      <c r="Q157" s="74"/>
      <c r="R157" s="74"/>
      <c r="S157" s="38"/>
      <c r="T157" s="38"/>
      <c r="U157" s="38"/>
      <c r="V157" s="38"/>
      <c r="W157" s="278"/>
      <c r="X157" s="131"/>
      <c r="Y157" s="134"/>
      <c r="Z157" s="135"/>
      <c r="AA157" s="131"/>
      <c r="AB157" s="133"/>
      <c r="AC157" s="133"/>
      <c r="AD157" s="130"/>
      <c r="AE157" s="130"/>
      <c r="AF157" s="130"/>
      <c r="AG157" s="130"/>
      <c r="AH157" s="130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130"/>
      <c r="AW157" s="47"/>
      <c r="AY157" s="79"/>
      <c r="AZ157" s="361"/>
    </row>
    <row r="158" spans="1:52" s="78" customFormat="1" ht="15.75" x14ac:dyDescent="0.25">
      <c r="A158"/>
      <c r="B158"/>
      <c r="C158" s="74"/>
      <c r="D158" s="74"/>
      <c r="E158"/>
      <c r="F158" s="74"/>
      <c r="G158" s="74"/>
      <c r="H158" s="74"/>
      <c r="I158" s="74"/>
      <c r="J158" s="295"/>
      <c r="K158" s="295"/>
      <c r="L158" s="295"/>
      <c r="M158" s="295"/>
      <c r="N158" s="296"/>
      <c r="O158" s="74"/>
      <c r="P158" s="74"/>
      <c r="Q158" s="74"/>
      <c r="R158" s="74"/>
      <c r="S158" s="38"/>
      <c r="T158" s="38"/>
      <c r="U158" s="38"/>
      <c r="V158" s="38" t="s">
        <v>415</v>
      </c>
      <c r="W158" s="278"/>
      <c r="X158" s="140">
        <v>4126</v>
      </c>
      <c r="Y158" s="201">
        <v>74711</v>
      </c>
      <c r="Z158" s="202">
        <v>-101036</v>
      </c>
      <c r="AA158" s="131"/>
      <c r="AB158" s="133"/>
      <c r="AC158" s="133"/>
      <c r="AD158" s="130"/>
      <c r="AE158" s="130"/>
      <c r="AF158" s="130"/>
      <c r="AG158" s="130"/>
      <c r="AH158" s="130"/>
      <c r="AI158" s="278"/>
      <c r="AJ158" s="278"/>
      <c r="AK158" s="278"/>
      <c r="AL158" s="278"/>
      <c r="AM158" s="278"/>
      <c r="AN158" s="278"/>
      <c r="AO158" s="278"/>
      <c r="AP158" s="278"/>
      <c r="AQ158" s="278"/>
      <c r="AR158" s="278"/>
      <c r="AS158" s="278"/>
      <c r="AT158" s="278"/>
      <c r="AU158" s="278"/>
      <c r="AV158" s="130"/>
      <c r="AW158" s="47"/>
      <c r="AY158" s="79"/>
      <c r="AZ158" s="361"/>
    </row>
    <row r="159" spans="1:52" s="78" customFormat="1" ht="15.75" x14ac:dyDescent="0.25">
      <c r="A159"/>
      <c r="B159"/>
      <c r="C159" s="74"/>
      <c r="D159" s="74"/>
      <c r="E159"/>
      <c r="F159" s="74"/>
      <c r="G159" s="74"/>
      <c r="H159" s="74"/>
      <c r="I159" s="74"/>
      <c r="J159" s="295"/>
      <c r="K159" s="295"/>
      <c r="L159" s="295"/>
      <c r="M159" s="295"/>
      <c r="N159" s="296"/>
      <c r="O159" s="74"/>
      <c r="P159" s="74"/>
      <c r="Q159" s="74"/>
      <c r="R159" s="74"/>
      <c r="S159" s="38"/>
      <c r="T159" s="38"/>
      <c r="U159" s="38"/>
      <c r="V159" s="38" t="s">
        <v>416</v>
      </c>
      <c r="W159" s="278"/>
      <c r="X159" s="131">
        <f>X146*0.1</f>
        <v>24539.487342857145</v>
      </c>
      <c r="Y159" s="131">
        <f>Y146*0.1</f>
        <v>28123.852117857146</v>
      </c>
      <c r="Z159" s="131">
        <f>Z146*0.1</f>
        <v>35153.603477857148</v>
      </c>
      <c r="AA159" s="131">
        <f>AA146*0.1</f>
        <v>37877.609327857142</v>
      </c>
      <c r="AB159" s="131">
        <f t="shared" ref="AB159:AH159" si="45">AB146*0.1</f>
        <v>44460.099457857141</v>
      </c>
      <c r="AC159" s="131">
        <f>AC146*0.1</f>
        <v>48899.89441785714</v>
      </c>
      <c r="AD159" s="131">
        <f t="shared" si="45"/>
        <v>46609.959717857135</v>
      </c>
      <c r="AE159" s="131">
        <f t="shared" si="45"/>
        <v>48031.886800000007</v>
      </c>
      <c r="AF159" s="131">
        <f t="shared" si="45"/>
        <v>47006.840430000004</v>
      </c>
      <c r="AG159" s="131">
        <f t="shared" si="45"/>
        <v>54142.156279999996</v>
      </c>
      <c r="AH159" s="131">
        <f t="shared" si="45"/>
        <v>48250.101940000008</v>
      </c>
      <c r="AI159" s="131">
        <f>AI146*0.1+2995</f>
        <v>36904.511950000007</v>
      </c>
      <c r="AJ159" s="278">
        <f>SUM(X159:AI159)</f>
        <v>500000.00326000003</v>
      </c>
      <c r="AK159" s="278"/>
      <c r="AL159" s="278"/>
      <c r="AM159" s="278"/>
      <c r="AN159" s="278"/>
      <c r="AO159" s="278"/>
      <c r="AP159" s="278"/>
      <c r="AQ159" s="278"/>
      <c r="AR159" s="278"/>
      <c r="AS159" s="278"/>
      <c r="AT159" s="278"/>
      <c r="AU159" s="278"/>
      <c r="AV159" s="130"/>
      <c r="AW159" s="47"/>
      <c r="AY159" s="79"/>
      <c r="AZ159" s="361"/>
    </row>
    <row r="160" spans="1:52" ht="15.75" x14ac:dyDescent="0.25">
      <c r="Q160" s="75"/>
      <c r="R160" s="75"/>
      <c r="V160" s="38" t="s">
        <v>406</v>
      </c>
      <c r="W160" s="125"/>
      <c r="X160" s="128">
        <f>X158-X159</f>
        <v>-20413.487342857145</v>
      </c>
      <c r="Y160" s="128">
        <f>Y158-Y159</f>
        <v>46587.147882142854</v>
      </c>
      <c r="Z160" s="128">
        <f>Z158-Z159</f>
        <v>-136189.60347785713</v>
      </c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47"/>
      <c r="AX160" s="76"/>
      <c r="AY160" s="77"/>
    </row>
    <row r="161" spans="1:52" ht="15.75" x14ac:dyDescent="0.25">
      <c r="Q161" s="75"/>
      <c r="R161" s="75"/>
      <c r="V161" s="38"/>
      <c r="W161" s="125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47"/>
      <c r="AX161" s="76"/>
      <c r="AY161" s="77"/>
    </row>
    <row r="162" spans="1:52" s="36" customFormat="1" ht="15.75" x14ac:dyDescent="0.25">
      <c r="A162" s="106" t="s">
        <v>582</v>
      </c>
      <c r="B162" s="107"/>
      <c r="C162" s="101"/>
      <c r="D162" s="102"/>
      <c r="E162" s="107"/>
      <c r="F162" s="102"/>
      <c r="G162" s="102"/>
      <c r="H162" s="102"/>
      <c r="I162" s="102"/>
      <c r="J162" s="276"/>
      <c r="K162" s="276"/>
      <c r="L162" s="276"/>
      <c r="M162" s="276"/>
      <c r="N162" s="84"/>
      <c r="O162" s="102"/>
      <c r="P162" s="102"/>
      <c r="Q162" s="102"/>
      <c r="R162" s="102"/>
      <c r="S162" s="84"/>
      <c r="T162" s="84"/>
      <c r="U162" s="84"/>
      <c r="V162" s="193"/>
      <c r="W162" s="85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47"/>
      <c r="AX162" s="85"/>
      <c r="AY162" s="51"/>
      <c r="AZ162" s="359">
        <f t="shared" ref="AZ162:AZ190" si="46">AX162-V162</f>
        <v>0</v>
      </c>
    </row>
    <row r="163" spans="1:52" s="36" customFormat="1" ht="15.75" x14ac:dyDescent="0.25">
      <c r="A163" s="34" t="s">
        <v>430</v>
      </c>
      <c r="B163" s="34" t="s">
        <v>431</v>
      </c>
      <c r="C163" s="52" t="s">
        <v>581</v>
      </c>
      <c r="D163" s="52" t="s">
        <v>581</v>
      </c>
      <c r="E163" s="52" t="s">
        <v>581</v>
      </c>
      <c r="F163" s="52" t="s">
        <v>581</v>
      </c>
      <c r="G163" s="52"/>
      <c r="H163" s="341"/>
      <c r="I163" s="341"/>
      <c r="J163" s="52" t="s">
        <v>581</v>
      </c>
      <c r="K163" s="52"/>
      <c r="L163" s="52" t="s">
        <v>581</v>
      </c>
      <c r="M163" s="52"/>
      <c r="N163" s="52" t="s">
        <v>581</v>
      </c>
      <c r="O163" s="52" t="s">
        <v>320</v>
      </c>
      <c r="P163" s="52" t="s">
        <v>581</v>
      </c>
      <c r="Q163" s="52" t="s">
        <v>581</v>
      </c>
      <c r="R163" s="341"/>
      <c r="S163" s="52" t="s">
        <v>581</v>
      </c>
      <c r="T163" s="52" t="s">
        <v>581</v>
      </c>
      <c r="U163" s="52" t="s">
        <v>581</v>
      </c>
      <c r="V163" s="182">
        <v>137906</v>
      </c>
      <c r="W163" s="115">
        <v>61092</v>
      </c>
      <c r="X163" s="115">
        <v>0</v>
      </c>
      <c r="Y163" s="115">
        <v>0</v>
      </c>
      <c r="Z163" s="115">
        <v>0</v>
      </c>
      <c r="AA163" s="115">
        <v>73311</v>
      </c>
      <c r="AB163" s="115">
        <v>0</v>
      </c>
      <c r="AC163" s="115">
        <v>0</v>
      </c>
      <c r="AD163" s="115">
        <v>3503</v>
      </c>
      <c r="AE163" s="115">
        <v>0</v>
      </c>
      <c r="AF163" s="115">
        <v>0</v>
      </c>
      <c r="AG163" s="115">
        <v>0</v>
      </c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3"/>
      <c r="AW163" s="47"/>
      <c r="AX163" s="53">
        <f>SUM(W163:AW163)</f>
        <v>137906</v>
      </c>
      <c r="AY163" s="51"/>
      <c r="AZ163" s="359">
        <f t="shared" si="46"/>
        <v>0</v>
      </c>
    </row>
    <row r="164" spans="1:52" s="36" customFormat="1" ht="15.75" x14ac:dyDescent="0.25">
      <c r="A164" s="60" t="s">
        <v>432</v>
      </c>
      <c r="B164" s="61" t="s">
        <v>433</v>
      </c>
      <c r="C164" s="52" t="s">
        <v>581</v>
      </c>
      <c r="D164" s="52" t="s">
        <v>581</v>
      </c>
      <c r="E164" s="52" t="s">
        <v>581</v>
      </c>
      <c r="F164" s="52" t="s">
        <v>581</v>
      </c>
      <c r="G164" s="52"/>
      <c r="H164" s="341"/>
      <c r="I164" s="341"/>
      <c r="J164" s="52" t="s">
        <v>581</v>
      </c>
      <c r="K164" s="52"/>
      <c r="L164" s="52" t="s">
        <v>581</v>
      </c>
      <c r="M164" s="52"/>
      <c r="N164" s="52" t="s">
        <v>581</v>
      </c>
      <c r="O164" s="52" t="s">
        <v>320</v>
      </c>
      <c r="P164" s="52" t="s">
        <v>581</v>
      </c>
      <c r="Q164" s="52" t="s">
        <v>581</v>
      </c>
      <c r="R164" s="341"/>
      <c r="S164" s="52" t="s">
        <v>581</v>
      </c>
      <c r="T164" s="52" t="s">
        <v>581</v>
      </c>
      <c r="U164" s="52" t="s">
        <v>581</v>
      </c>
      <c r="V164" s="182">
        <v>136537</v>
      </c>
      <c r="W164" s="115">
        <v>61092</v>
      </c>
      <c r="X164" s="115">
        <v>0</v>
      </c>
      <c r="Y164" s="115">
        <v>0</v>
      </c>
      <c r="Z164" s="115">
        <v>0</v>
      </c>
      <c r="AA164" s="115">
        <v>73311</v>
      </c>
      <c r="AB164" s="115">
        <v>0</v>
      </c>
      <c r="AC164" s="115">
        <v>0</v>
      </c>
      <c r="AD164" s="115">
        <v>2134</v>
      </c>
      <c r="AE164" s="115">
        <v>0</v>
      </c>
      <c r="AF164" s="115">
        <v>0</v>
      </c>
      <c r="AG164" s="115">
        <v>0</v>
      </c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3"/>
      <c r="AW164" s="47"/>
      <c r="AX164" s="53">
        <f t="shared" ref="AX164:AX183" si="47">SUM(W164:AW164)</f>
        <v>136537</v>
      </c>
      <c r="AY164" s="51"/>
      <c r="AZ164" s="359">
        <f t="shared" si="46"/>
        <v>0</v>
      </c>
    </row>
    <row r="165" spans="1:52" s="36" customFormat="1" ht="15.75" x14ac:dyDescent="0.25">
      <c r="A165" s="111" t="s">
        <v>558</v>
      </c>
      <c r="B165" s="112" t="s">
        <v>641</v>
      </c>
      <c r="C165" s="52" t="s">
        <v>319</v>
      </c>
      <c r="D165" s="52" t="s">
        <v>319</v>
      </c>
      <c r="E165" s="310" t="s">
        <v>319</v>
      </c>
      <c r="F165" s="310" t="s">
        <v>319</v>
      </c>
      <c r="G165" s="310"/>
      <c r="H165" s="341"/>
      <c r="I165" s="341"/>
      <c r="J165" s="310" t="s">
        <v>319</v>
      </c>
      <c r="K165" s="310"/>
      <c r="L165" s="310" t="s">
        <v>319</v>
      </c>
      <c r="M165" s="310"/>
      <c r="N165" s="310" t="s">
        <v>319</v>
      </c>
      <c r="O165" s="52" t="s">
        <v>320</v>
      </c>
      <c r="P165" s="310" t="s">
        <v>319</v>
      </c>
      <c r="Q165" s="310" t="s">
        <v>319</v>
      </c>
      <c r="R165" s="341"/>
      <c r="S165" s="310" t="s">
        <v>319</v>
      </c>
      <c r="T165" s="310" t="s">
        <v>319</v>
      </c>
      <c r="U165" s="310" t="s">
        <v>319</v>
      </c>
      <c r="V165" s="306"/>
      <c r="W165" s="115">
        <v>0</v>
      </c>
      <c r="X165" s="115">
        <v>0</v>
      </c>
      <c r="Y165" s="115">
        <v>0</v>
      </c>
      <c r="Z165" s="115">
        <v>0</v>
      </c>
      <c r="AA165" s="115">
        <v>0</v>
      </c>
      <c r="AB165" s="115">
        <v>0</v>
      </c>
      <c r="AC165" s="115">
        <v>0</v>
      </c>
      <c r="AD165" s="115">
        <v>0</v>
      </c>
      <c r="AE165" s="115">
        <v>0</v>
      </c>
      <c r="AF165" s="115">
        <v>0</v>
      </c>
      <c r="AG165" s="115">
        <v>0</v>
      </c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3"/>
      <c r="AW165" s="47"/>
      <c r="AX165" s="53">
        <f t="shared" si="47"/>
        <v>0</v>
      </c>
      <c r="AY165" s="51"/>
      <c r="AZ165" s="359">
        <f t="shared" si="46"/>
        <v>0</v>
      </c>
    </row>
    <row r="166" spans="1:52" s="36" customFormat="1" ht="15.75" x14ac:dyDescent="0.25">
      <c r="A166" s="60" t="s">
        <v>161</v>
      </c>
      <c r="B166" s="61" t="s">
        <v>163</v>
      </c>
      <c r="C166" s="52" t="s">
        <v>165</v>
      </c>
      <c r="D166" s="52" t="s">
        <v>165</v>
      </c>
      <c r="E166" s="52" t="s">
        <v>165</v>
      </c>
      <c r="F166" s="52" t="s">
        <v>165</v>
      </c>
      <c r="G166" s="52"/>
      <c r="H166" s="341"/>
      <c r="I166" s="341"/>
      <c r="J166" s="52" t="s">
        <v>165</v>
      </c>
      <c r="K166" s="52"/>
      <c r="L166" s="52" t="s">
        <v>165</v>
      </c>
      <c r="M166" s="52"/>
      <c r="N166" s="52" t="s">
        <v>165</v>
      </c>
      <c r="O166" s="52" t="s">
        <v>320</v>
      </c>
      <c r="P166" s="52" t="s">
        <v>165</v>
      </c>
      <c r="Q166" s="52" t="s">
        <v>165</v>
      </c>
      <c r="R166" s="341"/>
      <c r="S166" s="52" t="s">
        <v>165</v>
      </c>
      <c r="T166" s="52" t="s">
        <v>165</v>
      </c>
      <c r="U166" s="52" t="s">
        <v>165</v>
      </c>
      <c r="V166" s="86"/>
      <c r="W166" s="115">
        <v>0</v>
      </c>
      <c r="X166" s="115">
        <v>0</v>
      </c>
      <c r="Y166" s="115">
        <v>0</v>
      </c>
      <c r="Z166" s="115">
        <v>0</v>
      </c>
      <c r="AA166" s="115">
        <v>0</v>
      </c>
      <c r="AB166" s="115">
        <v>0</v>
      </c>
      <c r="AC166" s="115">
        <v>0</v>
      </c>
      <c r="AD166" s="115">
        <v>0</v>
      </c>
      <c r="AE166" s="115">
        <v>0</v>
      </c>
      <c r="AF166" s="115">
        <v>0</v>
      </c>
      <c r="AG166" s="115">
        <v>0</v>
      </c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3"/>
      <c r="AW166" s="47"/>
      <c r="AX166" s="53">
        <f t="shared" si="47"/>
        <v>0</v>
      </c>
      <c r="AY166" s="51"/>
      <c r="AZ166" s="359">
        <f t="shared" si="46"/>
        <v>0</v>
      </c>
    </row>
    <row r="167" spans="1:52" s="36" customFormat="1" ht="15.75" x14ac:dyDescent="0.25">
      <c r="A167" s="111" t="s">
        <v>82</v>
      </c>
      <c r="B167" s="112" t="s">
        <v>532</v>
      </c>
      <c r="C167" s="52" t="s">
        <v>319</v>
      </c>
      <c r="D167" s="52" t="s">
        <v>319</v>
      </c>
      <c r="E167" s="340" t="s">
        <v>451</v>
      </c>
      <c r="F167" s="52" t="s">
        <v>165</v>
      </c>
      <c r="G167" s="52"/>
      <c r="H167" s="341"/>
      <c r="I167" s="341"/>
      <c r="J167" s="52" t="s">
        <v>165</v>
      </c>
      <c r="K167" s="52"/>
      <c r="L167" s="52" t="s">
        <v>165</v>
      </c>
      <c r="M167" s="52"/>
      <c r="N167" s="52" t="s">
        <v>165</v>
      </c>
      <c r="O167" s="87" t="s">
        <v>370</v>
      </c>
      <c r="P167" s="52" t="s">
        <v>165</v>
      </c>
      <c r="Q167" s="52" t="s">
        <v>165</v>
      </c>
      <c r="R167" s="341"/>
      <c r="S167" s="52" t="s">
        <v>165</v>
      </c>
      <c r="T167" s="52" t="s">
        <v>165</v>
      </c>
      <c r="U167" s="52" t="s">
        <v>165</v>
      </c>
      <c r="V167" s="86">
        <v>33274</v>
      </c>
      <c r="W167" s="115">
        <v>0</v>
      </c>
      <c r="X167" s="115">
        <v>0</v>
      </c>
      <c r="Y167" s="115">
        <v>0</v>
      </c>
      <c r="Z167" s="115">
        <v>0</v>
      </c>
      <c r="AA167" s="115">
        <v>0</v>
      </c>
      <c r="AB167" s="115">
        <v>33274</v>
      </c>
      <c r="AC167" s="115">
        <v>0</v>
      </c>
      <c r="AD167" s="115">
        <v>0</v>
      </c>
      <c r="AE167" s="115">
        <v>0</v>
      </c>
      <c r="AF167" s="115">
        <v>0</v>
      </c>
      <c r="AG167" s="115">
        <v>0</v>
      </c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3"/>
      <c r="AW167" s="47"/>
      <c r="AX167" s="53">
        <f t="shared" si="47"/>
        <v>33274</v>
      </c>
      <c r="AY167" s="51"/>
      <c r="AZ167" s="359">
        <f t="shared" si="46"/>
        <v>0</v>
      </c>
    </row>
    <row r="168" spans="1:52" s="36" customFormat="1" ht="15.75" x14ac:dyDescent="0.25">
      <c r="A168" s="113" t="s">
        <v>716</v>
      </c>
      <c r="B168" s="114" t="s">
        <v>699</v>
      </c>
      <c r="C168" s="52" t="s">
        <v>319</v>
      </c>
      <c r="D168" s="52" t="s">
        <v>319</v>
      </c>
      <c r="E168" s="362" t="s">
        <v>700</v>
      </c>
      <c r="F168" s="52" t="s">
        <v>165</v>
      </c>
      <c r="G168" s="52"/>
      <c r="H168" s="341"/>
      <c r="I168" s="341"/>
      <c r="J168" s="52" t="s">
        <v>165</v>
      </c>
      <c r="K168" s="52"/>
      <c r="L168" s="52" t="s">
        <v>165</v>
      </c>
      <c r="M168" s="52"/>
      <c r="N168" s="52" t="s">
        <v>165</v>
      </c>
      <c r="O168" s="52" t="s">
        <v>320</v>
      </c>
      <c r="P168" s="52" t="s">
        <v>165</v>
      </c>
      <c r="Q168" s="52" t="s">
        <v>165</v>
      </c>
      <c r="R168" s="341"/>
      <c r="S168" s="52" t="s">
        <v>165</v>
      </c>
      <c r="T168" s="52" t="s">
        <v>165</v>
      </c>
      <c r="U168" s="52" t="s">
        <v>165</v>
      </c>
      <c r="V168" s="53"/>
      <c r="W168" s="115">
        <v>0</v>
      </c>
      <c r="X168" s="115">
        <v>0</v>
      </c>
      <c r="Y168" s="115">
        <v>0</v>
      </c>
      <c r="Z168" s="115">
        <v>0</v>
      </c>
      <c r="AA168" s="115">
        <v>0</v>
      </c>
      <c r="AB168" s="115">
        <v>0</v>
      </c>
      <c r="AC168" s="115">
        <v>0</v>
      </c>
      <c r="AD168" s="115">
        <v>0</v>
      </c>
      <c r="AE168" s="115">
        <v>0</v>
      </c>
      <c r="AF168" s="115">
        <v>0</v>
      </c>
      <c r="AG168" s="115">
        <v>0</v>
      </c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3"/>
      <c r="AW168" s="47"/>
      <c r="AX168" s="53">
        <f t="shared" si="47"/>
        <v>0</v>
      </c>
      <c r="AY168" s="51"/>
      <c r="AZ168" s="359">
        <f t="shared" si="46"/>
        <v>0</v>
      </c>
    </row>
    <row r="169" spans="1:52" s="36" customFormat="1" ht="15.75" x14ac:dyDescent="0.25">
      <c r="A169" s="244" t="s">
        <v>298</v>
      </c>
      <c r="B169" s="272" t="s">
        <v>299</v>
      </c>
      <c r="C169" s="52" t="s">
        <v>319</v>
      </c>
      <c r="D169" s="52" t="s">
        <v>319</v>
      </c>
      <c r="E169" s="310" t="s">
        <v>319</v>
      </c>
      <c r="F169" s="310" t="s">
        <v>319</v>
      </c>
      <c r="G169" s="310"/>
      <c r="H169" s="341"/>
      <c r="I169" s="341"/>
      <c r="J169" s="310" t="s">
        <v>319</v>
      </c>
      <c r="K169" s="310"/>
      <c r="L169" s="310" t="s">
        <v>319</v>
      </c>
      <c r="M169" s="310"/>
      <c r="N169" s="310" t="s">
        <v>319</v>
      </c>
      <c r="O169" s="52" t="s">
        <v>320</v>
      </c>
      <c r="P169" s="310" t="s">
        <v>319</v>
      </c>
      <c r="Q169" s="310" t="s">
        <v>319</v>
      </c>
      <c r="R169" s="341"/>
      <c r="S169" s="310" t="s">
        <v>319</v>
      </c>
      <c r="T169" s="310" t="s">
        <v>319</v>
      </c>
      <c r="U169" s="310" t="s">
        <v>319</v>
      </c>
      <c r="V169" s="306"/>
      <c r="W169" s="115">
        <v>0</v>
      </c>
      <c r="X169" s="115">
        <v>0</v>
      </c>
      <c r="Y169" s="115">
        <v>0</v>
      </c>
      <c r="Z169" s="115">
        <v>0</v>
      </c>
      <c r="AA169" s="242">
        <v>0</v>
      </c>
      <c r="AB169" s="115">
        <v>0</v>
      </c>
      <c r="AC169" s="115">
        <v>0</v>
      </c>
      <c r="AD169" s="115">
        <v>0</v>
      </c>
      <c r="AE169" s="115">
        <v>0</v>
      </c>
      <c r="AF169" s="115">
        <v>0</v>
      </c>
      <c r="AG169" s="115">
        <v>0</v>
      </c>
      <c r="AH169" s="58"/>
      <c r="AI169" s="58"/>
      <c r="AJ169" s="58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47"/>
      <c r="AX169" s="53">
        <f t="shared" si="47"/>
        <v>0</v>
      </c>
      <c r="AY169" s="51"/>
      <c r="AZ169" s="359">
        <f t="shared" si="46"/>
        <v>0</v>
      </c>
    </row>
    <row r="170" spans="1:52" s="36" customFormat="1" ht="15.75" x14ac:dyDescent="0.25">
      <c r="A170" s="113" t="s">
        <v>180</v>
      </c>
      <c r="B170" s="113" t="s">
        <v>182</v>
      </c>
      <c r="C170" s="52" t="s">
        <v>319</v>
      </c>
      <c r="D170" s="52" t="s">
        <v>319</v>
      </c>
      <c r="E170" s="345" t="s">
        <v>697</v>
      </c>
      <c r="F170" s="310" t="s">
        <v>319</v>
      </c>
      <c r="G170" s="310"/>
      <c r="H170" s="341"/>
      <c r="I170" s="341"/>
      <c r="J170" s="310" t="s">
        <v>319</v>
      </c>
      <c r="K170" s="310"/>
      <c r="L170" s="310" t="s">
        <v>319</v>
      </c>
      <c r="M170" s="310"/>
      <c r="N170" s="310" t="s">
        <v>319</v>
      </c>
      <c r="O170" s="310" t="s">
        <v>370</v>
      </c>
      <c r="P170" s="310" t="s">
        <v>319</v>
      </c>
      <c r="Q170" s="310" t="s">
        <v>319</v>
      </c>
      <c r="R170" s="341"/>
      <c r="S170" s="310" t="s">
        <v>319</v>
      </c>
      <c r="T170" s="310" t="s">
        <v>319</v>
      </c>
      <c r="U170" s="310" t="s">
        <v>319</v>
      </c>
      <c r="V170" s="351"/>
      <c r="W170" s="115">
        <v>0</v>
      </c>
      <c r="X170" s="115">
        <v>0</v>
      </c>
      <c r="Y170" s="115">
        <v>0</v>
      </c>
      <c r="Z170" s="115">
        <v>0</v>
      </c>
      <c r="AA170" s="115">
        <v>0</v>
      </c>
      <c r="AB170" s="115">
        <v>0</v>
      </c>
      <c r="AC170" s="115">
        <v>0</v>
      </c>
      <c r="AD170" s="115">
        <v>0</v>
      </c>
      <c r="AE170" s="115">
        <v>0</v>
      </c>
      <c r="AF170" s="115"/>
      <c r="AG170" s="115">
        <v>0</v>
      </c>
      <c r="AH170" s="58"/>
      <c r="AI170" s="58"/>
      <c r="AJ170" s="58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47"/>
      <c r="AX170" s="53">
        <f t="shared" si="47"/>
        <v>0</v>
      </c>
      <c r="AY170" s="51"/>
      <c r="AZ170" s="359">
        <f t="shared" si="46"/>
        <v>0</v>
      </c>
    </row>
    <row r="171" spans="1:52" s="36" customFormat="1" ht="15.75" x14ac:dyDescent="0.25">
      <c r="A171" s="244" t="s">
        <v>316</v>
      </c>
      <c r="B171" s="244" t="s">
        <v>435</v>
      </c>
      <c r="C171" s="52" t="s">
        <v>319</v>
      </c>
      <c r="D171" s="52" t="s">
        <v>319</v>
      </c>
      <c r="E171" s="52" t="s">
        <v>319</v>
      </c>
      <c r="F171" s="52" t="s">
        <v>319</v>
      </c>
      <c r="G171" s="52"/>
      <c r="H171" s="341"/>
      <c r="I171" s="341"/>
      <c r="J171" s="52" t="s">
        <v>319</v>
      </c>
      <c r="K171" s="52"/>
      <c r="L171" s="52" t="s">
        <v>319</v>
      </c>
      <c r="M171" s="52"/>
      <c r="N171" s="52" t="s">
        <v>319</v>
      </c>
      <c r="O171" s="52" t="s">
        <v>320</v>
      </c>
      <c r="P171" s="52" t="s">
        <v>319</v>
      </c>
      <c r="Q171" s="52" t="s">
        <v>319</v>
      </c>
      <c r="R171" s="341"/>
      <c r="S171" s="52" t="s">
        <v>319</v>
      </c>
      <c r="T171" s="52" t="s">
        <v>319</v>
      </c>
      <c r="U171" s="52" t="s">
        <v>319</v>
      </c>
      <c r="V171" s="182">
        <v>461956</v>
      </c>
      <c r="W171" s="115">
        <v>0</v>
      </c>
      <c r="X171" s="115">
        <v>353138</v>
      </c>
      <c r="Y171" s="115">
        <v>108818</v>
      </c>
      <c r="Z171" s="115">
        <v>0</v>
      </c>
      <c r="AA171" s="115">
        <v>0</v>
      </c>
      <c r="AB171" s="115">
        <v>0</v>
      </c>
      <c r="AC171" s="115">
        <v>0</v>
      </c>
      <c r="AD171" s="115">
        <v>0</v>
      </c>
      <c r="AE171" s="115">
        <v>0</v>
      </c>
      <c r="AF171" s="115">
        <v>0</v>
      </c>
      <c r="AG171" s="115">
        <v>0</v>
      </c>
      <c r="AH171" s="58"/>
      <c r="AI171" s="58"/>
      <c r="AJ171" s="58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47"/>
      <c r="AX171" s="53">
        <f t="shared" si="47"/>
        <v>461956</v>
      </c>
      <c r="AY171" s="51"/>
      <c r="AZ171" s="359">
        <f t="shared" si="46"/>
        <v>0</v>
      </c>
    </row>
    <row r="172" spans="1:52" s="36" customFormat="1" ht="15.75" x14ac:dyDescent="0.25">
      <c r="A172" s="113" t="s">
        <v>325</v>
      </c>
      <c r="B172" s="114" t="s">
        <v>418</v>
      </c>
      <c r="C172" s="52" t="s">
        <v>319</v>
      </c>
      <c r="D172" s="52" t="s">
        <v>319</v>
      </c>
      <c r="E172" s="52" t="s">
        <v>319</v>
      </c>
      <c r="F172" s="52" t="s">
        <v>319</v>
      </c>
      <c r="G172" s="52"/>
      <c r="H172" s="341"/>
      <c r="I172" s="341"/>
      <c r="J172" s="52" t="s">
        <v>319</v>
      </c>
      <c r="K172" s="52"/>
      <c r="L172" s="52" t="s">
        <v>319</v>
      </c>
      <c r="M172" s="52"/>
      <c r="N172" s="52" t="s">
        <v>319</v>
      </c>
      <c r="O172" s="52" t="s">
        <v>320</v>
      </c>
      <c r="P172" s="52" t="s">
        <v>319</v>
      </c>
      <c r="Q172" s="52" t="s">
        <v>319</v>
      </c>
      <c r="R172" s="341"/>
      <c r="S172" s="52" t="s">
        <v>319</v>
      </c>
      <c r="T172" s="52" t="s">
        <v>319</v>
      </c>
      <c r="U172" s="52" t="s">
        <v>319</v>
      </c>
      <c r="V172" s="247">
        <v>15630</v>
      </c>
      <c r="W172" s="115">
        <v>0</v>
      </c>
      <c r="X172" s="115">
        <v>0</v>
      </c>
      <c r="Y172" s="115">
        <v>15630</v>
      </c>
      <c r="Z172" s="115">
        <v>0</v>
      </c>
      <c r="AA172" s="115">
        <v>0</v>
      </c>
      <c r="AB172" s="115">
        <v>0</v>
      </c>
      <c r="AC172" s="115">
        <v>0</v>
      </c>
      <c r="AD172" s="115">
        <v>0</v>
      </c>
      <c r="AE172" s="115">
        <v>0</v>
      </c>
      <c r="AF172" s="115">
        <v>0</v>
      </c>
      <c r="AG172" s="115">
        <v>0</v>
      </c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3"/>
      <c r="AW172" s="47"/>
      <c r="AX172" s="53">
        <f t="shared" si="47"/>
        <v>15630</v>
      </c>
      <c r="AY172" s="51"/>
      <c r="AZ172" s="359">
        <f t="shared" si="46"/>
        <v>0</v>
      </c>
    </row>
    <row r="173" spans="1:52" s="36" customFormat="1" ht="15.75" x14ac:dyDescent="0.25">
      <c r="A173" s="113" t="s">
        <v>328</v>
      </c>
      <c r="B173" s="114" t="s">
        <v>419</v>
      </c>
      <c r="C173" s="52" t="s">
        <v>319</v>
      </c>
      <c r="D173" s="52" t="s">
        <v>319</v>
      </c>
      <c r="E173" s="52" t="s">
        <v>319</v>
      </c>
      <c r="F173" s="52" t="s">
        <v>319</v>
      </c>
      <c r="G173" s="52"/>
      <c r="H173" s="341"/>
      <c r="I173" s="341"/>
      <c r="J173" s="52" t="s">
        <v>319</v>
      </c>
      <c r="K173" s="52"/>
      <c r="L173" s="52" t="s">
        <v>319</v>
      </c>
      <c r="M173" s="52"/>
      <c r="N173" s="52" t="s">
        <v>319</v>
      </c>
      <c r="O173" s="52" t="s">
        <v>320</v>
      </c>
      <c r="P173" s="52" t="s">
        <v>319</v>
      </c>
      <c r="Q173" s="52" t="s">
        <v>319</v>
      </c>
      <c r="R173" s="341"/>
      <c r="S173" s="52" t="s">
        <v>319</v>
      </c>
      <c r="T173" s="52" t="s">
        <v>319</v>
      </c>
      <c r="U173" s="52" t="s">
        <v>319</v>
      </c>
      <c r="V173" s="247">
        <v>15000</v>
      </c>
      <c r="W173" s="115">
        <v>0</v>
      </c>
      <c r="X173" s="115">
        <v>0</v>
      </c>
      <c r="Y173" s="115">
        <v>5720</v>
      </c>
      <c r="Z173" s="115">
        <v>0</v>
      </c>
      <c r="AA173" s="115">
        <v>9280</v>
      </c>
      <c r="AB173" s="115">
        <v>0</v>
      </c>
      <c r="AC173" s="115">
        <v>0</v>
      </c>
      <c r="AD173" s="115">
        <v>0</v>
      </c>
      <c r="AE173" s="115">
        <v>0</v>
      </c>
      <c r="AF173" s="115">
        <v>0</v>
      </c>
      <c r="AG173" s="115">
        <v>0</v>
      </c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3"/>
      <c r="AW173" s="47"/>
      <c r="AX173" s="53">
        <f t="shared" si="47"/>
        <v>15000</v>
      </c>
      <c r="AY173" s="51"/>
      <c r="AZ173" s="359">
        <f t="shared" si="46"/>
        <v>0</v>
      </c>
    </row>
    <row r="174" spans="1:52" s="36" customFormat="1" ht="15.75" x14ac:dyDescent="0.25">
      <c r="A174" s="113" t="s">
        <v>110</v>
      </c>
      <c r="B174" s="114" t="s">
        <v>111</v>
      </c>
      <c r="C174" s="52" t="s">
        <v>319</v>
      </c>
      <c r="D174" s="52" t="s">
        <v>319</v>
      </c>
      <c r="E174" s="52" t="s">
        <v>319</v>
      </c>
      <c r="F174" s="52" t="s">
        <v>319</v>
      </c>
      <c r="G174" s="52"/>
      <c r="H174" s="341"/>
      <c r="I174" s="341"/>
      <c r="J174" s="52" t="s">
        <v>319</v>
      </c>
      <c r="K174" s="52"/>
      <c r="L174" s="52" t="s">
        <v>319</v>
      </c>
      <c r="M174" s="52"/>
      <c r="N174" s="52" t="s">
        <v>319</v>
      </c>
      <c r="O174" s="52" t="s">
        <v>320</v>
      </c>
      <c r="P174" s="52" t="s">
        <v>319</v>
      </c>
      <c r="Q174" s="52" t="s">
        <v>319</v>
      </c>
      <c r="R174" s="341"/>
      <c r="S174" s="52" t="s">
        <v>319</v>
      </c>
      <c r="T174" s="52" t="s">
        <v>319</v>
      </c>
      <c r="U174" s="52" t="s">
        <v>319</v>
      </c>
      <c r="V174" s="86"/>
      <c r="W174" s="115">
        <v>0</v>
      </c>
      <c r="X174" s="115">
        <v>0</v>
      </c>
      <c r="Y174" s="115">
        <v>0</v>
      </c>
      <c r="Z174" s="115">
        <v>0</v>
      </c>
      <c r="AA174" s="115">
        <v>0</v>
      </c>
      <c r="AB174" s="115">
        <v>0</v>
      </c>
      <c r="AC174" s="115">
        <v>0</v>
      </c>
      <c r="AD174" s="115">
        <v>0</v>
      </c>
      <c r="AE174" s="115">
        <v>0</v>
      </c>
      <c r="AF174" s="115">
        <v>0</v>
      </c>
      <c r="AG174" s="115">
        <v>0</v>
      </c>
      <c r="AH174" s="58"/>
      <c r="AI174" s="58"/>
      <c r="AJ174" s="58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47"/>
      <c r="AX174" s="53">
        <f t="shared" si="47"/>
        <v>0</v>
      </c>
      <c r="AY174" s="51"/>
      <c r="AZ174" s="359">
        <f t="shared" si="46"/>
        <v>0</v>
      </c>
    </row>
    <row r="175" spans="1:52" s="36" customFormat="1" ht="15.75" x14ac:dyDescent="0.25">
      <c r="A175" s="113" t="s">
        <v>187</v>
      </c>
      <c r="B175" s="114" t="s">
        <v>188</v>
      </c>
      <c r="C175" s="52" t="s">
        <v>319</v>
      </c>
      <c r="D175" s="52" t="s">
        <v>319</v>
      </c>
      <c r="E175" s="52" t="s">
        <v>319</v>
      </c>
      <c r="F175" s="52" t="s">
        <v>319</v>
      </c>
      <c r="G175" s="52"/>
      <c r="H175" s="341"/>
      <c r="I175" s="341"/>
      <c r="J175" s="52" t="s">
        <v>319</v>
      </c>
      <c r="K175" s="52"/>
      <c r="L175" s="52" t="s">
        <v>319</v>
      </c>
      <c r="M175" s="52"/>
      <c r="N175" s="52" t="s">
        <v>319</v>
      </c>
      <c r="O175" s="52" t="s">
        <v>320</v>
      </c>
      <c r="P175" s="52" t="s">
        <v>319</v>
      </c>
      <c r="Q175" s="52" t="s">
        <v>319</v>
      </c>
      <c r="R175" s="341"/>
      <c r="S175" s="52" t="s">
        <v>319</v>
      </c>
      <c r="T175" s="52" t="s">
        <v>319</v>
      </c>
      <c r="U175" s="52" t="s">
        <v>319</v>
      </c>
      <c r="V175" s="182">
        <v>41062</v>
      </c>
      <c r="W175" s="115">
        <v>0</v>
      </c>
      <c r="X175" s="115">
        <v>0</v>
      </c>
      <c r="Y175" s="115">
        <v>0</v>
      </c>
      <c r="Z175" s="115">
        <v>0</v>
      </c>
      <c r="AA175" s="115">
        <v>0</v>
      </c>
      <c r="AB175" s="115">
        <v>41062</v>
      </c>
      <c r="AC175" s="115">
        <v>0</v>
      </c>
      <c r="AD175" s="115">
        <v>0</v>
      </c>
      <c r="AE175" s="115">
        <v>0</v>
      </c>
      <c r="AF175" s="115">
        <v>0</v>
      </c>
      <c r="AG175" s="115">
        <v>0</v>
      </c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47"/>
      <c r="AX175" s="53">
        <f t="shared" si="47"/>
        <v>41062</v>
      </c>
      <c r="AY175" s="51"/>
      <c r="AZ175" s="359">
        <f t="shared" si="46"/>
        <v>0</v>
      </c>
    </row>
    <row r="176" spans="1:52" s="36" customFormat="1" ht="15.75" x14ac:dyDescent="0.25">
      <c r="A176" s="113" t="s">
        <v>178</v>
      </c>
      <c r="B176" s="113" t="s">
        <v>179</v>
      </c>
      <c r="C176" s="52" t="s">
        <v>319</v>
      </c>
      <c r="D176" s="52" t="s">
        <v>319</v>
      </c>
      <c r="E176" s="52" t="s">
        <v>319</v>
      </c>
      <c r="F176" s="52" t="s">
        <v>319</v>
      </c>
      <c r="G176" s="52"/>
      <c r="H176" s="341"/>
      <c r="I176" s="341"/>
      <c r="J176" s="52" t="s">
        <v>319</v>
      </c>
      <c r="K176" s="52"/>
      <c r="L176" s="52" t="s">
        <v>319</v>
      </c>
      <c r="M176" s="52"/>
      <c r="N176" s="52" t="s">
        <v>319</v>
      </c>
      <c r="O176" s="52" t="s">
        <v>320</v>
      </c>
      <c r="P176" s="52" t="s">
        <v>319</v>
      </c>
      <c r="Q176" s="52" t="s">
        <v>319</v>
      </c>
      <c r="R176" s="341"/>
      <c r="S176" s="52" t="s">
        <v>319</v>
      </c>
      <c r="T176" s="52" t="s">
        <v>319</v>
      </c>
      <c r="U176" s="52" t="s">
        <v>319</v>
      </c>
      <c r="V176" s="86"/>
      <c r="W176" s="115">
        <v>0</v>
      </c>
      <c r="X176" s="115">
        <v>0</v>
      </c>
      <c r="Y176" s="115">
        <v>0</v>
      </c>
      <c r="Z176" s="115">
        <v>0</v>
      </c>
      <c r="AA176" s="115">
        <v>0</v>
      </c>
      <c r="AB176" s="115">
        <v>0</v>
      </c>
      <c r="AC176" s="115">
        <v>0</v>
      </c>
      <c r="AD176" s="115">
        <v>0</v>
      </c>
      <c r="AE176" s="115">
        <v>0</v>
      </c>
      <c r="AF176" s="115">
        <v>0</v>
      </c>
      <c r="AG176" s="115">
        <v>0</v>
      </c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3"/>
      <c r="AW176" s="47"/>
      <c r="AX176" s="53">
        <f t="shared" si="47"/>
        <v>0</v>
      </c>
      <c r="AY176" s="51"/>
      <c r="AZ176" s="359">
        <f t="shared" si="46"/>
        <v>0</v>
      </c>
    </row>
    <row r="177" spans="1:54" s="36" customFormat="1" ht="15.75" x14ac:dyDescent="0.25">
      <c r="A177" s="113" t="s">
        <v>544</v>
      </c>
      <c r="B177" s="113" t="s">
        <v>668</v>
      </c>
      <c r="C177" s="52" t="s">
        <v>319</v>
      </c>
      <c r="D177" s="52" t="s">
        <v>319</v>
      </c>
      <c r="E177" s="345" t="s">
        <v>691</v>
      </c>
      <c r="F177" s="52" t="s">
        <v>319</v>
      </c>
      <c r="G177" s="52"/>
      <c r="H177" s="341"/>
      <c r="I177" s="341"/>
      <c r="J177" s="52" t="s">
        <v>319</v>
      </c>
      <c r="K177" s="52"/>
      <c r="L177" s="52" t="s">
        <v>319</v>
      </c>
      <c r="M177" s="52"/>
      <c r="N177" s="52" t="s">
        <v>319</v>
      </c>
      <c r="O177" s="87" t="s">
        <v>320</v>
      </c>
      <c r="P177" s="52" t="s">
        <v>319</v>
      </c>
      <c r="Q177" s="52" t="s">
        <v>319</v>
      </c>
      <c r="R177" s="341"/>
      <c r="S177" s="52" t="s">
        <v>319</v>
      </c>
      <c r="T177" s="52" t="s">
        <v>319</v>
      </c>
      <c r="U177" s="52" t="s">
        <v>319</v>
      </c>
      <c r="V177" s="181">
        <v>15493</v>
      </c>
      <c r="W177" s="115">
        <v>0</v>
      </c>
      <c r="X177" s="115">
        <v>0</v>
      </c>
      <c r="Y177" s="115">
        <v>0</v>
      </c>
      <c r="Z177" s="115">
        <v>0</v>
      </c>
      <c r="AA177" s="115">
        <v>0</v>
      </c>
      <c r="AB177" s="115">
        <v>0</v>
      </c>
      <c r="AC177" s="115">
        <v>0</v>
      </c>
      <c r="AD177" s="115">
        <v>0</v>
      </c>
      <c r="AE177" s="115">
        <v>15493</v>
      </c>
      <c r="AF177" s="115">
        <v>0</v>
      </c>
      <c r="AG177" s="115">
        <v>0</v>
      </c>
      <c r="AH177" s="58"/>
      <c r="AI177" s="58"/>
      <c r="AJ177" s="58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47"/>
      <c r="AX177" s="53">
        <f t="shared" si="47"/>
        <v>15493</v>
      </c>
      <c r="AY177" s="51"/>
      <c r="AZ177" s="359">
        <f t="shared" si="46"/>
        <v>0</v>
      </c>
    </row>
    <row r="178" spans="1:54" s="36" customFormat="1" ht="15.75" x14ac:dyDescent="0.25">
      <c r="A178" s="113" t="s">
        <v>602</v>
      </c>
      <c r="B178" s="114" t="s">
        <v>603</v>
      </c>
      <c r="C178" s="52" t="s">
        <v>319</v>
      </c>
      <c r="D178" s="52" t="s">
        <v>319</v>
      </c>
      <c r="E178" s="52" t="s">
        <v>319</v>
      </c>
      <c r="F178" s="52" t="s">
        <v>319</v>
      </c>
      <c r="G178" s="52"/>
      <c r="H178" s="341"/>
      <c r="I178" s="341"/>
      <c r="J178" s="52" t="s">
        <v>319</v>
      </c>
      <c r="K178" s="52"/>
      <c r="L178" s="52" t="s">
        <v>319</v>
      </c>
      <c r="M178" s="52"/>
      <c r="N178" s="52" t="s">
        <v>319</v>
      </c>
      <c r="O178" s="52" t="s">
        <v>320</v>
      </c>
      <c r="P178" s="52" t="s">
        <v>319</v>
      </c>
      <c r="Q178" s="52" t="s">
        <v>319</v>
      </c>
      <c r="R178" s="341"/>
      <c r="S178" s="52" t="s">
        <v>319</v>
      </c>
      <c r="T178" s="52" t="s">
        <v>319</v>
      </c>
      <c r="U178" s="52" t="s">
        <v>319</v>
      </c>
      <c r="V178" s="53"/>
      <c r="W178" s="115">
        <v>0</v>
      </c>
      <c r="X178" s="115">
        <v>0</v>
      </c>
      <c r="Y178" s="115">
        <v>0</v>
      </c>
      <c r="Z178" s="115">
        <v>0</v>
      </c>
      <c r="AA178" s="115">
        <v>0</v>
      </c>
      <c r="AB178" s="115">
        <v>0</v>
      </c>
      <c r="AC178" s="115">
        <v>0</v>
      </c>
      <c r="AD178" s="115">
        <v>0</v>
      </c>
      <c r="AE178" s="115">
        <v>0</v>
      </c>
      <c r="AF178" s="115">
        <v>0</v>
      </c>
      <c r="AG178" s="115">
        <v>0</v>
      </c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3"/>
      <c r="AW178" s="47"/>
      <c r="AX178" s="53">
        <f t="shared" si="47"/>
        <v>0</v>
      </c>
      <c r="AY178" s="51"/>
      <c r="AZ178" s="359">
        <f t="shared" si="46"/>
        <v>0</v>
      </c>
    </row>
    <row r="179" spans="1:54" s="36" customFormat="1" ht="15.75" x14ac:dyDescent="0.25">
      <c r="A179" s="113" t="s">
        <v>747</v>
      </c>
      <c r="B179" s="114" t="s">
        <v>598</v>
      </c>
      <c r="C179" s="52" t="s">
        <v>319</v>
      </c>
      <c r="D179" s="52" t="s">
        <v>319</v>
      </c>
      <c r="E179" s="52" t="s">
        <v>319</v>
      </c>
      <c r="F179" s="52" t="s">
        <v>319</v>
      </c>
      <c r="G179" s="52"/>
      <c r="H179" s="341"/>
      <c r="I179" s="341"/>
      <c r="J179" s="52" t="s">
        <v>319</v>
      </c>
      <c r="K179" s="52"/>
      <c r="L179" s="52" t="s">
        <v>319</v>
      </c>
      <c r="M179" s="52"/>
      <c r="N179" s="52" t="s">
        <v>319</v>
      </c>
      <c r="O179" s="52" t="s">
        <v>320</v>
      </c>
      <c r="P179" s="52" t="s">
        <v>319</v>
      </c>
      <c r="Q179" s="52" t="s">
        <v>319</v>
      </c>
      <c r="R179" s="341"/>
      <c r="S179" s="52" t="s">
        <v>319</v>
      </c>
      <c r="T179" s="52" t="s">
        <v>319</v>
      </c>
      <c r="U179" s="52" t="s">
        <v>319</v>
      </c>
      <c r="V179" s="53"/>
      <c r="W179" s="115">
        <v>0</v>
      </c>
      <c r="X179" s="115">
        <v>0</v>
      </c>
      <c r="Y179" s="115">
        <v>0</v>
      </c>
      <c r="Z179" s="115">
        <v>0</v>
      </c>
      <c r="AA179" s="115">
        <v>0</v>
      </c>
      <c r="AB179" s="115">
        <v>0</v>
      </c>
      <c r="AC179" s="115">
        <v>0</v>
      </c>
      <c r="AD179" s="115">
        <v>0</v>
      </c>
      <c r="AE179" s="115">
        <v>0</v>
      </c>
      <c r="AF179" s="115">
        <v>0</v>
      </c>
      <c r="AG179" s="115">
        <v>0</v>
      </c>
      <c r="AH179" s="58"/>
      <c r="AI179" s="58"/>
      <c r="AJ179" s="58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47"/>
      <c r="AX179" s="53">
        <f t="shared" si="47"/>
        <v>0</v>
      </c>
      <c r="AY179" s="51"/>
      <c r="AZ179" s="359">
        <f t="shared" si="46"/>
        <v>0</v>
      </c>
    </row>
    <row r="180" spans="1:54" s="36" customFormat="1" ht="15.75" x14ac:dyDescent="0.25">
      <c r="A180" s="113" t="s">
        <v>586</v>
      </c>
      <c r="B180" s="114" t="s">
        <v>587</v>
      </c>
      <c r="C180" s="52" t="s">
        <v>319</v>
      </c>
      <c r="D180" s="52" t="s">
        <v>319</v>
      </c>
      <c r="E180" s="52" t="s">
        <v>319</v>
      </c>
      <c r="F180" s="52" t="s">
        <v>319</v>
      </c>
      <c r="G180" s="52"/>
      <c r="H180" s="341"/>
      <c r="I180" s="341"/>
      <c r="J180" s="52" t="s">
        <v>319</v>
      </c>
      <c r="K180" s="52"/>
      <c r="L180" s="52" t="s">
        <v>319</v>
      </c>
      <c r="M180" s="52"/>
      <c r="N180" s="52" t="s">
        <v>319</v>
      </c>
      <c r="O180" s="52" t="s">
        <v>320</v>
      </c>
      <c r="P180" s="52" t="s">
        <v>319</v>
      </c>
      <c r="Q180" s="52" t="s">
        <v>319</v>
      </c>
      <c r="R180" s="341"/>
      <c r="S180" s="52" t="s">
        <v>319</v>
      </c>
      <c r="T180" s="52" t="s">
        <v>319</v>
      </c>
      <c r="U180" s="52" t="s">
        <v>319</v>
      </c>
      <c r="V180" s="58"/>
      <c r="W180" s="115">
        <v>0</v>
      </c>
      <c r="X180" s="115">
        <v>0</v>
      </c>
      <c r="Y180" s="115">
        <v>0</v>
      </c>
      <c r="Z180" s="115">
        <v>0</v>
      </c>
      <c r="AA180" s="115">
        <v>0</v>
      </c>
      <c r="AB180" s="115">
        <v>0</v>
      </c>
      <c r="AC180" s="115">
        <v>0</v>
      </c>
      <c r="AD180" s="115">
        <v>0</v>
      </c>
      <c r="AE180" s="115">
        <v>0</v>
      </c>
      <c r="AF180" s="115">
        <v>0</v>
      </c>
      <c r="AG180" s="115">
        <v>0</v>
      </c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3"/>
      <c r="AW180" s="47"/>
      <c r="AX180" s="53">
        <f t="shared" si="47"/>
        <v>0</v>
      </c>
      <c r="AY180" s="51"/>
      <c r="AZ180" s="359">
        <f t="shared" si="46"/>
        <v>0</v>
      </c>
    </row>
    <row r="181" spans="1:54" s="36" customFormat="1" ht="15.75" x14ac:dyDescent="0.25">
      <c r="A181" s="113" t="s">
        <v>583</v>
      </c>
      <c r="B181" s="114" t="s">
        <v>588</v>
      </c>
      <c r="C181" s="52" t="s">
        <v>319</v>
      </c>
      <c r="D181" s="52" t="s">
        <v>319</v>
      </c>
      <c r="E181" s="52" t="s">
        <v>319</v>
      </c>
      <c r="F181" s="52" t="s">
        <v>319</v>
      </c>
      <c r="G181" s="52"/>
      <c r="H181" s="341"/>
      <c r="I181" s="341"/>
      <c r="J181" s="52" t="s">
        <v>319</v>
      </c>
      <c r="K181" s="52"/>
      <c r="L181" s="52" t="s">
        <v>319</v>
      </c>
      <c r="M181" s="52"/>
      <c r="N181" s="52" t="s">
        <v>319</v>
      </c>
      <c r="O181" s="52" t="s">
        <v>320</v>
      </c>
      <c r="P181" s="52" t="s">
        <v>319</v>
      </c>
      <c r="Q181" s="52" t="s">
        <v>319</v>
      </c>
      <c r="R181" s="341"/>
      <c r="S181" s="52" t="s">
        <v>319</v>
      </c>
      <c r="T181" s="52" t="s">
        <v>319</v>
      </c>
      <c r="U181" s="52" t="s">
        <v>319</v>
      </c>
      <c r="V181" s="53"/>
      <c r="W181" s="115">
        <v>0</v>
      </c>
      <c r="X181" s="115">
        <v>0</v>
      </c>
      <c r="Y181" s="115">
        <v>0</v>
      </c>
      <c r="Z181" s="115">
        <v>0</v>
      </c>
      <c r="AA181" s="115">
        <v>0</v>
      </c>
      <c r="AB181" s="115">
        <v>0</v>
      </c>
      <c r="AC181" s="115">
        <v>0</v>
      </c>
      <c r="AD181" s="115">
        <v>0</v>
      </c>
      <c r="AE181" s="115">
        <v>0</v>
      </c>
      <c r="AF181" s="115">
        <v>0</v>
      </c>
      <c r="AG181" s="115">
        <v>0</v>
      </c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3"/>
      <c r="AW181" s="47"/>
      <c r="AX181" s="53">
        <f t="shared" si="47"/>
        <v>0</v>
      </c>
      <c r="AY181" s="51"/>
      <c r="AZ181" s="359">
        <f t="shared" si="46"/>
        <v>0</v>
      </c>
      <c r="BB181" s="55"/>
    </row>
    <row r="182" spans="1:54" s="36" customFormat="1" ht="15.75" x14ac:dyDescent="0.25">
      <c r="A182" s="113" t="s">
        <v>584</v>
      </c>
      <c r="B182" s="114" t="s">
        <v>585</v>
      </c>
      <c r="C182" s="52" t="s">
        <v>319</v>
      </c>
      <c r="D182" s="52" t="s">
        <v>319</v>
      </c>
      <c r="E182" s="52" t="s">
        <v>319</v>
      </c>
      <c r="F182" s="52" t="s">
        <v>319</v>
      </c>
      <c r="G182" s="52"/>
      <c r="H182" s="341"/>
      <c r="I182" s="341"/>
      <c r="J182" s="52" t="s">
        <v>319</v>
      </c>
      <c r="K182" s="52"/>
      <c r="L182" s="52" t="s">
        <v>319</v>
      </c>
      <c r="M182" s="52"/>
      <c r="N182" s="52" t="s">
        <v>319</v>
      </c>
      <c r="O182" s="52" t="s">
        <v>320</v>
      </c>
      <c r="P182" s="52" t="s">
        <v>319</v>
      </c>
      <c r="Q182" s="52" t="s">
        <v>319</v>
      </c>
      <c r="R182" s="341"/>
      <c r="S182" s="52" t="s">
        <v>319</v>
      </c>
      <c r="T182" s="52" t="s">
        <v>319</v>
      </c>
      <c r="U182" s="52" t="s">
        <v>319</v>
      </c>
      <c r="V182" s="53"/>
      <c r="W182" s="115">
        <v>0</v>
      </c>
      <c r="X182" s="115">
        <v>0</v>
      </c>
      <c r="Y182" s="115">
        <v>0</v>
      </c>
      <c r="Z182" s="115">
        <v>0</v>
      </c>
      <c r="AA182" s="115">
        <v>0</v>
      </c>
      <c r="AB182" s="115">
        <v>0</v>
      </c>
      <c r="AC182" s="115">
        <v>0</v>
      </c>
      <c r="AD182" s="115">
        <v>0</v>
      </c>
      <c r="AE182" s="115">
        <v>0</v>
      </c>
      <c r="AF182" s="115">
        <v>0</v>
      </c>
      <c r="AG182" s="115">
        <v>0</v>
      </c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3"/>
      <c r="AW182" s="47"/>
      <c r="AX182" s="53">
        <f t="shared" si="47"/>
        <v>0</v>
      </c>
      <c r="AY182" s="51"/>
      <c r="AZ182" s="359">
        <f t="shared" si="46"/>
        <v>0</v>
      </c>
      <c r="BB182" s="55"/>
    </row>
    <row r="183" spans="1:54" s="36" customFormat="1" ht="15.75" x14ac:dyDescent="0.25">
      <c r="A183" s="113" t="s">
        <v>714</v>
      </c>
      <c r="B183" s="114" t="s">
        <v>715</v>
      </c>
      <c r="C183" s="52" t="s">
        <v>319</v>
      </c>
      <c r="D183" s="52" t="s">
        <v>319</v>
      </c>
      <c r="E183" s="52" t="s">
        <v>319</v>
      </c>
      <c r="F183" s="52" t="s">
        <v>319</v>
      </c>
      <c r="G183" s="52"/>
      <c r="H183" s="341"/>
      <c r="I183" s="341"/>
      <c r="J183" s="52" t="s">
        <v>319</v>
      </c>
      <c r="K183" s="52"/>
      <c r="L183" s="52" t="s">
        <v>319</v>
      </c>
      <c r="M183" s="52"/>
      <c r="N183" s="52" t="s">
        <v>319</v>
      </c>
      <c r="O183" s="52" t="s">
        <v>320</v>
      </c>
      <c r="P183" s="52" t="s">
        <v>319</v>
      </c>
      <c r="Q183" s="52" t="s">
        <v>319</v>
      </c>
      <c r="R183" s="341"/>
      <c r="S183" s="52" t="s">
        <v>319</v>
      </c>
      <c r="T183" s="52" t="s">
        <v>319</v>
      </c>
      <c r="U183" s="52" t="s">
        <v>319</v>
      </c>
      <c r="V183" s="53"/>
      <c r="W183" s="115">
        <v>0</v>
      </c>
      <c r="X183" s="115">
        <v>0</v>
      </c>
      <c r="Y183" s="115">
        <v>0</v>
      </c>
      <c r="Z183" s="115">
        <v>0</v>
      </c>
      <c r="AA183" s="115">
        <v>0</v>
      </c>
      <c r="AB183" s="115">
        <v>0</v>
      </c>
      <c r="AC183" s="115">
        <v>0</v>
      </c>
      <c r="AD183" s="115">
        <v>0</v>
      </c>
      <c r="AE183" s="115">
        <v>0</v>
      </c>
      <c r="AF183" s="115">
        <v>0</v>
      </c>
      <c r="AG183" s="115">
        <v>0</v>
      </c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3"/>
      <c r="AW183" s="47"/>
      <c r="AX183" s="53">
        <f t="shared" si="47"/>
        <v>0</v>
      </c>
      <c r="AY183" s="51"/>
      <c r="AZ183" s="359">
        <f t="shared" si="46"/>
        <v>0</v>
      </c>
      <c r="BB183" s="55"/>
    </row>
    <row r="184" spans="1:54" s="36" customFormat="1" ht="15.75" x14ac:dyDescent="0.25">
      <c r="A184" s="113" t="s">
        <v>589</v>
      </c>
      <c r="B184" s="114" t="s">
        <v>590</v>
      </c>
      <c r="C184" s="52" t="s">
        <v>319</v>
      </c>
      <c r="D184" s="52" t="s">
        <v>319</v>
      </c>
      <c r="E184" s="52" t="s">
        <v>319</v>
      </c>
      <c r="F184" s="52" t="s">
        <v>319</v>
      </c>
      <c r="G184" s="52"/>
      <c r="H184" s="341"/>
      <c r="I184" s="341"/>
      <c r="J184" s="52" t="s">
        <v>319</v>
      </c>
      <c r="K184" s="52"/>
      <c r="L184" s="52" t="s">
        <v>319</v>
      </c>
      <c r="M184" s="52"/>
      <c r="N184" s="52" t="s">
        <v>319</v>
      </c>
      <c r="O184" s="52" t="s">
        <v>320</v>
      </c>
      <c r="P184" s="52" t="s">
        <v>319</v>
      </c>
      <c r="Q184" s="52" t="s">
        <v>319</v>
      </c>
      <c r="R184" s="341"/>
      <c r="S184" s="52" t="s">
        <v>319</v>
      </c>
      <c r="T184" s="52" t="s">
        <v>319</v>
      </c>
      <c r="U184" s="52" t="s">
        <v>319</v>
      </c>
      <c r="V184" s="210"/>
      <c r="W184" s="115">
        <v>0</v>
      </c>
      <c r="X184" s="115">
        <v>0</v>
      </c>
      <c r="Y184" s="115">
        <v>0</v>
      </c>
      <c r="Z184" s="115">
        <v>0</v>
      </c>
      <c r="AA184" s="115">
        <v>0</v>
      </c>
      <c r="AB184" s="115">
        <v>0</v>
      </c>
      <c r="AC184" s="115">
        <v>0</v>
      </c>
      <c r="AD184" s="115">
        <v>0</v>
      </c>
      <c r="AE184" s="115">
        <v>0</v>
      </c>
      <c r="AF184" s="115">
        <v>0</v>
      </c>
      <c r="AG184" s="115">
        <v>0</v>
      </c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3"/>
      <c r="AW184" s="47"/>
      <c r="AX184" s="53">
        <f t="shared" ref="AX184:AX190" si="48">SUM(W184:AW184)</f>
        <v>0</v>
      </c>
      <c r="AY184" s="51"/>
      <c r="AZ184" s="359">
        <f t="shared" si="46"/>
        <v>0</v>
      </c>
      <c r="BB184" s="55"/>
    </row>
    <row r="185" spans="1:54" s="36" customFormat="1" ht="15.75" x14ac:dyDescent="0.25">
      <c r="A185" s="113" t="s">
        <v>722</v>
      </c>
      <c r="B185" s="114" t="s">
        <v>723</v>
      </c>
      <c r="C185" s="52" t="s">
        <v>319</v>
      </c>
      <c r="D185" s="52" t="s">
        <v>319</v>
      </c>
      <c r="E185" s="52" t="s">
        <v>319</v>
      </c>
      <c r="F185" s="52" t="s">
        <v>319</v>
      </c>
      <c r="G185" s="52"/>
      <c r="H185" s="341"/>
      <c r="I185" s="341"/>
      <c r="J185" s="52" t="s">
        <v>319</v>
      </c>
      <c r="K185" s="52"/>
      <c r="L185" s="52" t="s">
        <v>319</v>
      </c>
      <c r="M185" s="52"/>
      <c r="N185" s="52" t="s">
        <v>319</v>
      </c>
      <c r="O185" s="52" t="s">
        <v>320</v>
      </c>
      <c r="P185" s="52" t="s">
        <v>319</v>
      </c>
      <c r="Q185" s="52" t="s">
        <v>319</v>
      </c>
      <c r="R185" s="341"/>
      <c r="S185" s="52" t="s">
        <v>319</v>
      </c>
      <c r="T185" s="52" t="s">
        <v>319</v>
      </c>
      <c r="U185" s="52" t="s">
        <v>319</v>
      </c>
      <c r="V185" s="53"/>
      <c r="W185" s="115">
        <v>0</v>
      </c>
      <c r="X185" s="115">
        <v>0</v>
      </c>
      <c r="Y185" s="115">
        <v>0</v>
      </c>
      <c r="Z185" s="115">
        <v>0</v>
      </c>
      <c r="AA185" s="115">
        <v>0</v>
      </c>
      <c r="AB185" s="115">
        <v>0</v>
      </c>
      <c r="AC185" s="115">
        <v>0</v>
      </c>
      <c r="AD185" s="115">
        <v>0</v>
      </c>
      <c r="AE185" s="115">
        <v>0</v>
      </c>
      <c r="AF185" s="115">
        <v>0</v>
      </c>
      <c r="AG185" s="115">
        <v>0</v>
      </c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3"/>
      <c r="AW185" s="47"/>
      <c r="AX185" s="53">
        <f>SUM(W185:AW185)</f>
        <v>0</v>
      </c>
      <c r="AY185" s="51"/>
      <c r="AZ185" s="359">
        <f t="shared" si="46"/>
        <v>0</v>
      </c>
      <c r="BB185" s="55"/>
    </row>
    <row r="186" spans="1:54" s="36" customFormat="1" ht="15.75" x14ac:dyDescent="0.25">
      <c r="A186" s="113" t="s">
        <v>728</v>
      </c>
      <c r="B186" s="114" t="s">
        <v>731</v>
      </c>
      <c r="C186" s="52" t="s">
        <v>319</v>
      </c>
      <c r="D186" s="52" t="s">
        <v>319</v>
      </c>
      <c r="E186" s="52" t="s">
        <v>319</v>
      </c>
      <c r="F186" s="52" t="s">
        <v>319</v>
      </c>
      <c r="G186" s="52"/>
      <c r="H186" s="341"/>
      <c r="I186" s="341"/>
      <c r="J186" s="52" t="s">
        <v>319</v>
      </c>
      <c r="K186" s="52"/>
      <c r="L186" s="52" t="s">
        <v>319</v>
      </c>
      <c r="M186" s="52"/>
      <c r="N186" s="52" t="s">
        <v>319</v>
      </c>
      <c r="O186" s="52" t="s">
        <v>320</v>
      </c>
      <c r="P186" s="52" t="s">
        <v>319</v>
      </c>
      <c r="Q186" s="52" t="s">
        <v>319</v>
      </c>
      <c r="R186" s="341"/>
      <c r="S186" s="52" t="s">
        <v>319</v>
      </c>
      <c r="T186" s="52" t="s">
        <v>319</v>
      </c>
      <c r="U186" s="52" t="s">
        <v>319</v>
      </c>
      <c r="V186" s="53"/>
      <c r="W186" s="115">
        <v>0</v>
      </c>
      <c r="X186" s="115">
        <v>0</v>
      </c>
      <c r="Y186" s="115">
        <v>0</v>
      </c>
      <c r="Z186" s="115">
        <v>0</v>
      </c>
      <c r="AA186" s="115">
        <v>0</v>
      </c>
      <c r="AB186" s="115">
        <v>0</v>
      </c>
      <c r="AC186" s="115">
        <v>0</v>
      </c>
      <c r="AD186" s="115">
        <v>0</v>
      </c>
      <c r="AE186" s="115">
        <v>0</v>
      </c>
      <c r="AF186" s="115">
        <v>0</v>
      </c>
      <c r="AG186" s="115">
        <v>0</v>
      </c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3"/>
      <c r="AW186" s="47"/>
      <c r="AX186" s="53">
        <f t="shared" si="48"/>
        <v>0</v>
      </c>
      <c r="AY186" s="51"/>
      <c r="AZ186" s="359">
        <f t="shared" si="46"/>
        <v>0</v>
      </c>
    </row>
    <row r="187" spans="1:54" s="36" customFormat="1" ht="15.75" x14ac:dyDescent="0.25">
      <c r="A187" s="113" t="s">
        <v>210</v>
      </c>
      <c r="B187" s="114" t="s">
        <v>211</v>
      </c>
      <c r="C187" s="52" t="s">
        <v>165</v>
      </c>
      <c r="D187" s="52" t="s">
        <v>165</v>
      </c>
      <c r="E187" s="52" t="s">
        <v>165</v>
      </c>
      <c r="F187" s="52" t="s">
        <v>165</v>
      </c>
      <c r="G187" s="52"/>
      <c r="H187" s="341"/>
      <c r="I187" s="341"/>
      <c r="J187" s="52" t="s">
        <v>165</v>
      </c>
      <c r="K187" s="52"/>
      <c r="L187" s="52" t="s">
        <v>165</v>
      </c>
      <c r="M187" s="52"/>
      <c r="N187" s="52" t="s">
        <v>165</v>
      </c>
      <c r="O187" s="52" t="s">
        <v>320</v>
      </c>
      <c r="P187" s="52" t="s">
        <v>165</v>
      </c>
      <c r="Q187" s="52" t="s">
        <v>165</v>
      </c>
      <c r="R187" s="341"/>
      <c r="S187" s="52" t="s">
        <v>165</v>
      </c>
      <c r="T187" s="52" t="s">
        <v>165</v>
      </c>
      <c r="U187" s="52" t="s">
        <v>165</v>
      </c>
      <c r="V187" s="86"/>
      <c r="W187" s="115">
        <v>0</v>
      </c>
      <c r="X187" s="115">
        <v>0</v>
      </c>
      <c r="Y187" s="115">
        <v>0</v>
      </c>
      <c r="Z187" s="115">
        <v>0</v>
      </c>
      <c r="AA187" s="115">
        <v>0</v>
      </c>
      <c r="AB187" s="115">
        <v>0</v>
      </c>
      <c r="AC187" s="115">
        <v>0</v>
      </c>
      <c r="AD187" s="115">
        <v>0</v>
      </c>
      <c r="AE187" s="115">
        <v>0</v>
      </c>
      <c r="AF187" s="115">
        <v>0</v>
      </c>
      <c r="AG187" s="115">
        <v>0</v>
      </c>
      <c r="AH187" s="58"/>
      <c r="AI187" s="58"/>
      <c r="AJ187" s="58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47"/>
      <c r="AX187" s="53">
        <f t="shared" si="48"/>
        <v>0</v>
      </c>
      <c r="AY187" s="51"/>
      <c r="AZ187" s="359">
        <f t="shared" si="46"/>
        <v>0</v>
      </c>
    </row>
    <row r="188" spans="1:54" s="36" customFormat="1" ht="15.75" x14ac:dyDescent="0.25">
      <c r="A188" s="104" t="s">
        <v>337</v>
      </c>
      <c r="B188" s="105" t="s">
        <v>422</v>
      </c>
      <c r="C188" s="52" t="s">
        <v>319</v>
      </c>
      <c r="D188" s="87" t="s">
        <v>319</v>
      </c>
      <c r="E188" s="87" t="s">
        <v>319</v>
      </c>
      <c r="F188" s="87" t="s">
        <v>319</v>
      </c>
      <c r="G188" s="87"/>
      <c r="H188" s="341"/>
      <c r="I188" s="341"/>
      <c r="J188" s="87" t="s">
        <v>319</v>
      </c>
      <c r="K188" s="87"/>
      <c r="L188" s="87" t="s">
        <v>319</v>
      </c>
      <c r="M188" s="87"/>
      <c r="N188" s="87" t="s">
        <v>319</v>
      </c>
      <c r="O188" s="87" t="s">
        <v>320</v>
      </c>
      <c r="P188" s="52" t="s">
        <v>319</v>
      </c>
      <c r="Q188" s="52" t="s">
        <v>319</v>
      </c>
      <c r="R188" s="341"/>
      <c r="S188" s="52" t="s">
        <v>319</v>
      </c>
      <c r="T188" s="52" t="s">
        <v>319</v>
      </c>
      <c r="U188" s="52" t="s">
        <v>319</v>
      </c>
      <c r="V188" s="181">
        <v>37392</v>
      </c>
      <c r="W188" s="115">
        <v>0</v>
      </c>
      <c r="X188" s="115">
        <v>0</v>
      </c>
      <c r="Y188" s="115">
        <v>37392</v>
      </c>
      <c r="Z188" s="115">
        <v>0</v>
      </c>
      <c r="AA188" s="115">
        <v>0</v>
      </c>
      <c r="AB188" s="115">
        <v>0</v>
      </c>
      <c r="AC188" s="115">
        <v>0</v>
      </c>
      <c r="AD188" s="115">
        <v>0</v>
      </c>
      <c r="AE188" s="115">
        <v>0</v>
      </c>
      <c r="AF188" s="115">
        <v>0</v>
      </c>
      <c r="AG188" s="115">
        <v>0</v>
      </c>
      <c r="AH188" s="58"/>
      <c r="AI188" s="58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47"/>
      <c r="AX188" s="53">
        <f t="shared" si="48"/>
        <v>37392</v>
      </c>
      <c r="AY188" s="51"/>
      <c r="AZ188" s="359">
        <f t="shared" si="46"/>
        <v>0</v>
      </c>
    </row>
    <row r="189" spans="1:54" s="36" customFormat="1" ht="15.75" x14ac:dyDescent="0.25">
      <c r="A189" s="283" t="s">
        <v>340</v>
      </c>
      <c r="B189" s="56" t="s">
        <v>429</v>
      </c>
      <c r="C189" s="52" t="s">
        <v>319</v>
      </c>
      <c r="D189" s="87" t="s">
        <v>319</v>
      </c>
      <c r="E189" s="87" t="s">
        <v>319</v>
      </c>
      <c r="F189" s="87" t="s">
        <v>319</v>
      </c>
      <c r="G189" s="87"/>
      <c r="H189" s="341"/>
      <c r="I189" s="341"/>
      <c r="J189" s="87" t="s">
        <v>319</v>
      </c>
      <c r="K189" s="87"/>
      <c r="L189" s="87" t="s">
        <v>319</v>
      </c>
      <c r="M189" s="87"/>
      <c r="N189" s="87" t="s">
        <v>319</v>
      </c>
      <c r="O189" s="52" t="s">
        <v>320</v>
      </c>
      <c r="P189" s="52" t="s">
        <v>319</v>
      </c>
      <c r="Q189" s="87" t="s">
        <v>319</v>
      </c>
      <c r="R189" s="341"/>
      <c r="S189" s="52" t="s">
        <v>319</v>
      </c>
      <c r="T189" s="52" t="s">
        <v>319</v>
      </c>
      <c r="U189" s="52" t="s">
        <v>319</v>
      </c>
      <c r="V189" s="182">
        <v>3575</v>
      </c>
      <c r="W189" s="115">
        <v>0</v>
      </c>
      <c r="X189" s="115">
        <v>0</v>
      </c>
      <c r="Y189" s="115">
        <v>3575</v>
      </c>
      <c r="Z189" s="115">
        <v>0</v>
      </c>
      <c r="AA189" s="115">
        <v>0</v>
      </c>
      <c r="AB189" s="115">
        <v>0</v>
      </c>
      <c r="AC189" s="115">
        <v>0</v>
      </c>
      <c r="AD189" s="115">
        <v>0</v>
      </c>
      <c r="AE189" s="115">
        <v>0</v>
      </c>
      <c r="AF189" s="115">
        <v>0</v>
      </c>
      <c r="AG189" s="115">
        <v>0</v>
      </c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3"/>
      <c r="AW189" s="47"/>
      <c r="AX189" s="53">
        <f t="shared" si="48"/>
        <v>3575</v>
      </c>
      <c r="AY189" s="51"/>
      <c r="AZ189" s="359">
        <f t="shared" si="46"/>
        <v>0</v>
      </c>
    </row>
    <row r="190" spans="1:54" s="36" customFormat="1" ht="15.75" x14ac:dyDescent="0.25">
      <c r="A190" s="93"/>
      <c r="B190" s="94"/>
      <c r="C190" s="91"/>
      <c r="D190" s="91"/>
      <c r="E190" s="94"/>
      <c r="F190" s="91"/>
      <c r="G190" s="91"/>
      <c r="H190" s="91"/>
      <c r="I190" s="91"/>
      <c r="J190" s="91"/>
      <c r="K190" s="91"/>
      <c r="L190" s="91"/>
      <c r="M190" s="91"/>
      <c r="N190" s="92"/>
      <c r="O190" s="91"/>
      <c r="P190" s="91"/>
      <c r="Q190" s="91"/>
      <c r="R190" s="91"/>
      <c r="S190" s="92"/>
      <c r="T190" s="92"/>
      <c r="U190" s="92"/>
      <c r="V190" s="243">
        <f t="shared" ref="V190:AJ190" si="49">SUM(V163:V189)</f>
        <v>897825</v>
      </c>
      <c r="W190" s="243">
        <f t="shared" si="49"/>
        <v>122184</v>
      </c>
      <c r="X190" s="243">
        <f t="shared" si="49"/>
        <v>353138</v>
      </c>
      <c r="Y190" s="243">
        <f t="shared" si="49"/>
        <v>171135</v>
      </c>
      <c r="Z190" s="243">
        <f t="shared" si="49"/>
        <v>0</v>
      </c>
      <c r="AA190" s="243">
        <f t="shared" si="49"/>
        <v>155902</v>
      </c>
      <c r="AB190" s="243">
        <f t="shared" si="49"/>
        <v>74336</v>
      </c>
      <c r="AC190" s="243">
        <f t="shared" si="49"/>
        <v>0</v>
      </c>
      <c r="AD190" s="243">
        <f t="shared" si="49"/>
        <v>5637</v>
      </c>
      <c r="AE190" s="243">
        <f t="shared" si="49"/>
        <v>15493</v>
      </c>
      <c r="AF190" s="243">
        <f t="shared" si="49"/>
        <v>0</v>
      </c>
      <c r="AG190" s="243">
        <f t="shared" si="49"/>
        <v>0</v>
      </c>
      <c r="AH190" s="243">
        <f t="shared" si="49"/>
        <v>0</v>
      </c>
      <c r="AI190" s="243">
        <f t="shared" si="49"/>
        <v>0</v>
      </c>
      <c r="AJ190" s="243">
        <f t="shared" si="49"/>
        <v>0</v>
      </c>
      <c r="AK190" s="243">
        <f t="shared" ref="AK190:AV190" si="50">SUM(AK163:AK189)</f>
        <v>0</v>
      </c>
      <c r="AL190" s="243">
        <f t="shared" si="50"/>
        <v>0</v>
      </c>
      <c r="AM190" s="243">
        <f t="shared" si="50"/>
        <v>0</v>
      </c>
      <c r="AN190" s="243">
        <f t="shared" si="50"/>
        <v>0</v>
      </c>
      <c r="AO190" s="243">
        <f t="shared" si="50"/>
        <v>0</v>
      </c>
      <c r="AP190" s="243">
        <f t="shared" si="50"/>
        <v>0</v>
      </c>
      <c r="AQ190" s="243">
        <f t="shared" si="50"/>
        <v>0</v>
      </c>
      <c r="AR190" s="243">
        <f t="shared" si="50"/>
        <v>0</v>
      </c>
      <c r="AS190" s="243">
        <f t="shared" si="50"/>
        <v>0</v>
      </c>
      <c r="AT190" s="243">
        <f t="shared" si="50"/>
        <v>0</v>
      </c>
      <c r="AU190" s="243">
        <f t="shared" si="50"/>
        <v>0</v>
      </c>
      <c r="AV190" s="243">
        <f t="shared" si="50"/>
        <v>0</v>
      </c>
      <c r="AW190" s="47"/>
      <c r="AX190" s="53">
        <f t="shared" si="48"/>
        <v>897825</v>
      </c>
      <c r="AY190" s="51"/>
      <c r="AZ190" s="359">
        <f t="shared" si="46"/>
        <v>0</v>
      </c>
    </row>
    <row r="191" spans="1:54" s="78" customFormat="1" ht="15.75" x14ac:dyDescent="0.25">
      <c r="A191"/>
      <c r="B191"/>
      <c r="C191" s="74"/>
      <c r="D191" s="74"/>
      <c r="E191"/>
      <c r="F191" s="74"/>
      <c r="G191" s="74"/>
      <c r="H191" s="74"/>
      <c r="I191" s="74"/>
      <c r="J191" s="295"/>
      <c r="K191" s="295"/>
      <c r="L191" s="295"/>
      <c r="M191" s="295"/>
      <c r="N191" s="296"/>
      <c r="O191" s="74"/>
      <c r="P191" s="74"/>
      <c r="Q191" s="74"/>
      <c r="R191" s="74"/>
      <c r="S191" s="38"/>
      <c r="T191" s="38"/>
      <c r="U191" s="38"/>
      <c r="W191" s="278"/>
      <c r="X191" s="131"/>
      <c r="Y191" s="134"/>
      <c r="Z191" s="135"/>
      <c r="AA191" s="131"/>
      <c r="AB191" s="133"/>
      <c r="AC191" s="133"/>
      <c r="AD191" s="130"/>
      <c r="AE191" s="130"/>
      <c r="AF191" s="130"/>
      <c r="AG191" s="130"/>
      <c r="AH191" s="130"/>
      <c r="AI191" s="278"/>
      <c r="AJ191" s="278"/>
      <c r="AK191" s="278"/>
      <c r="AL191" s="278"/>
      <c r="AM191" s="278"/>
      <c r="AN191" s="278"/>
      <c r="AO191" s="278"/>
      <c r="AP191" s="278"/>
      <c r="AQ191" s="278"/>
      <c r="AR191" s="278"/>
      <c r="AS191" s="278"/>
      <c r="AT191" s="278"/>
      <c r="AU191" s="278"/>
      <c r="AV191" s="130"/>
      <c r="AW191" s="47"/>
      <c r="AY191" s="79"/>
      <c r="AZ191" s="361"/>
    </row>
    <row r="192" spans="1:54" s="78" customFormat="1" ht="15.75" x14ac:dyDescent="0.25">
      <c r="A192"/>
      <c r="B192"/>
      <c r="C192" s="74"/>
      <c r="D192" s="74"/>
      <c r="E192"/>
      <c r="F192" s="74"/>
      <c r="G192" s="74"/>
      <c r="H192" s="74"/>
      <c r="I192" s="74"/>
      <c r="J192" s="295"/>
      <c r="K192" s="295"/>
      <c r="L192" s="295"/>
      <c r="M192" s="295"/>
      <c r="N192" s="296"/>
      <c r="O192" s="74"/>
      <c r="P192" s="74"/>
      <c r="Q192" s="74"/>
      <c r="R192" s="74"/>
      <c r="S192" s="38"/>
      <c r="T192" s="38"/>
      <c r="U192" s="38"/>
      <c r="W192" s="278"/>
      <c r="X192" s="80"/>
      <c r="Y192" s="3"/>
      <c r="Z192" s="8"/>
      <c r="AA192" s="80"/>
      <c r="AB192" s="81"/>
      <c r="AC192" s="81"/>
      <c r="AI192" s="277"/>
      <c r="AJ192" s="277"/>
      <c r="AK192" s="277"/>
      <c r="AL192" s="277"/>
      <c r="AM192" s="277"/>
      <c r="AN192" s="277"/>
      <c r="AO192" s="277"/>
      <c r="AP192" s="277"/>
      <c r="AQ192" s="277"/>
      <c r="AR192" s="277"/>
      <c r="AS192" s="277"/>
      <c r="AT192" s="277"/>
      <c r="AU192" s="277"/>
      <c r="AW192" s="47"/>
      <c r="AY192" s="79"/>
      <c r="AZ192" s="361"/>
    </row>
    <row r="193" spans="1:52" s="78" customFormat="1" ht="15.75" x14ac:dyDescent="0.25">
      <c r="A193"/>
      <c r="B193"/>
      <c r="C193" s="74"/>
      <c r="D193" s="74"/>
      <c r="E193"/>
      <c r="F193" s="74"/>
      <c r="G193" s="74"/>
      <c r="H193" s="74"/>
      <c r="I193" s="74"/>
      <c r="J193" s="295"/>
      <c r="K193" s="295"/>
      <c r="L193" s="295"/>
      <c r="M193" s="295"/>
      <c r="N193" s="296"/>
      <c r="O193" s="74"/>
      <c r="P193" s="74"/>
      <c r="Q193" s="74"/>
      <c r="R193" s="74"/>
      <c r="S193" s="38"/>
      <c r="T193" s="38"/>
      <c r="U193" s="38"/>
      <c r="W193" s="278"/>
      <c r="X193" s="80"/>
      <c r="Y193" s="3"/>
      <c r="Z193" s="8"/>
      <c r="AA193" s="80"/>
      <c r="AB193" s="81"/>
      <c r="AC193" s="81"/>
      <c r="AI193" s="277"/>
      <c r="AJ193" s="277"/>
      <c r="AK193" s="277"/>
      <c r="AL193" s="277"/>
      <c r="AM193" s="277"/>
      <c r="AN193" s="277"/>
      <c r="AO193" s="277"/>
      <c r="AP193" s="277"/>
      <c r="AQ193" s="277"/>
      <c r="AR193" s="277"/>
      <c r="AS193" s="277"/>
      <c r="AT193" s="277"/>
      <c r="AU193" s="277"/>
      <c r="AW193" s="47"/>
      <c r="AY193" s="79"/>
      <c r="AZ193" s="361"/>
    </row>
    <row r="194" spans="1:52" s="78" customFormat="1" ht="15.75" x14ac:dyDescent="0.25">
      <c r="A194"/>
      <c r="B194"/>
      <c r="C194" s="74"/>
      <c r="D194" s="74"/>
      <c r="E194"/>
      <c r="F194" s="74"/>
      <c r="G194" s="74"/>
      <c r="H194" s="74"/>
      <c r="I194" s="74"/>
      <c r="J194" s="295"/>
      <c r="K194" s="295"/>
      <c r="L194" s="295"/>
      <c r="M194" s="295"/>
      <c r="N194" s="296"/>
      <c r="O194" s="74"/>
      <c r="P194" s="74"/>
      <c r="Q194" s="74"/>
      <c r="R194" s="74"/>
      <c r="S194" s="38"/>
      <c r="T194" s="38"/>
      <c r="U194" s="38"/>
      <c r="W194" s="278"/>
      <c r="X194" s="80"/>
      <c r="Y194" s="3"/>
      <c r="Z194" s="8"/>
      <c r="AA194" s="80"/>
      <c r="AB194" s="81"/>
      <c r="AC194" s="81"/>
      <c r="AI194" s="277"/>
      <c r="AJ194" s="277"/>
      <c r="AK194" s="277"/>
      <c r="AL194" s="277"/>
      <c r="AM194" s="277"/>
      <c r="AN194" s="277"/>
      <c r="AO194" s="277"/>
      <c r="AP194" s="277"/>
      <c r="AQ194" s="277"/>
      <c r="AR194" s="277"/>
      <c r="AS194" s="277"/>
      <c r="AT194" s="277"/>
      <c r="AU194" s="277"/>
      <c r="AW194" s="47"/>
      <c r="AY194" s="79"/>
      <c r="AZ194" s="361"/>
    </row>
    <row r="195" spans="1:52" s="78" customFormat="1" ht="15.75" x14ac:dyDescent="0.25">
      <c r="A195"/>
      <c r="B195"/>
      <c r="C195" s="74"/>
      <c r="D195" s="74"/>
      <c r="E195"/>
      <c r="F195" s="74"/>
      <c r="G195" s="74"/>
      <c r="H195" s="74"/>
      <c r="I195" s="74"/>
      <c r="J195" s="295"/>
      <c r="K195" s="295"/>
      <c r="L195" s="295"/>
      <c r="M195" s="295"/>
      <c r="N195" s="296"/>
      <c r="O195" s="74"/>
      <c r="P195" s="74"/>
      <c r="Q195" s="74"/>
      <c r="R195" s="74"/>
      <c r="S195" s="38"/>
      <c r="T195" s="38"/>
      <c r="U195" s="38"/>
      <c r="W195" s="278"/>
      <c r="X195" s="80"/>
      <c r="Y195" s="3"/>
      <c r="Z195" s="8"/>
      <c r="AA195" s="80"/>
      <c r="AB195" s="81"/>
      <c r="AC195" s="81"/>
      <c r="AI195" s="277"/>
      <c r="AJ195" s="277"/>
      <c r="AK195" s="277"/>
      <c r="AL195" s="277"/>
      <c r="AM195" s="277"/>
      <c r="AN195" s="277"/>
      <c r="AO195" s="277"/>
      <c r="AP195" s="277"/>
      <c r="AQ195" s="277"/>
      <c r="AR195" s="277"/>
      <c r="AS195" s="277"/>
      <c r="AT195" s="277"/>
      <c r="AU195" s="277"/>
      <c r="AW195" s="47"/>
      <c r="AY195" s="79"/>
      <c r="AZ195" s="361"/>
    </row>
    <row r="196" spans="1:52" s="78" customFormat="1" ht="15.75" x14ac:dyDescent="0.25">
      <c r="A196"/>
      <c r="B196"/>
      <c r="C196" s="74"/>
      <c r="D196" s="74"/>
      <c r="E196"/>
      <c r="F196" s="74"/>
      <c r="G196" s="74"/>
      <c r="H196" s="74"/>
      <c r="I196" s="74"/>
      <c r="J196" s="295"/>
      <c r="K196" s="295"/>
      <c r="L196" s="295"/>
      <c r="M196" s="295"/>
      <c r="N196" s="296"/>
      <c r="O196" s="74"/>
      <c r="P196" s="74"/>
      <c r="Q196" s="74"/>
      <c r="R196" s="74"/>
      <c r="S196" s="38"/>
      <c r="T196" s="38"/>
      <c r="U196" s="38"/>
      <c r="W196" s="278"/>
      <c r="X196" s="80"/>
      <c r="Y196" s="3"/>
      <c r="Z196" s="8"/>
      <c r="AA196" s="80"/>
      <c r="AB196" s="81"/>
      <c r="AC196" s="81"/>
      <c r="AI196" s="277"/>
      <c r="AJ196" s="277"/>
      <c r="AK196" s="277"/>
      <c r="AL196" s="277"/>
      <c r="AM196" s="277"/>
      <c r="AN196" s="277"/>
      <c r="AO196" s="277"/>
      <c r="AP196" s="277"/>
      <c r="AQ196" s="277"/>
      <c r="AR196" s="277"/>
      <c r="AS196" s="277"/>
      <c r="AT196" s="277"/>
      <c r="AU196" s="277"/>
      <c r="AW196" s="47"/>
      <c r="AY196" s="79"/>
      <c r="AZ196" s="361"/>
    </row>
    <row r="197" spans="1:52" s="78" customFormat="1" ht="15.75" x14ac:dyDescent="0.25">
      <c r="A197"/>
      <c r="B197"/>
      <c r="C197" s="74"/>
      <c r="D197" s="74"/>
      <c r="E197"/>
      <c r="F197" s="74"/>
      <c r="G197" s="74"/>
      <c r="H197" s="74"/>
      <c r="I197" s="74"/>
      <c r="J197" s="295"/>
      <c r="K197" s="295"/>
      <c r="L197" s="295"/>
      <c r="M197" s="295"/>
      <c r="N197" s="296"/>
      <c r="O197" s="74"/>
      <c r="P197" s="74"/>
      <c r="Q197" s="74"/>
      <c r="R197" s="74"/>
      <c r="S197" s="38"/>
      <c r="T197" s="38"/>
      <c r="U197" s="38"/>
      <c r="W197" s="278"/>
      <c r="X197" s="80"/>
      <c r="Y197" s="3"/>
      <c r="Z197" s="8"/>
      <c r="AA197" s="80"/>
      <c r="AB197" s="81"/>
      <c r="AC197" s="81"/>
      <c r="AI197" s="277"/>
      <c r="AJ197" s="277"/>
      <c r="AK197" s="277"/>
      <c r="AL197" s="277"/>
      <c r="AM197" s="277"/>
      <c r="AN197" s="277"/>
      <c r="AO197" s="277"/>
      <c r="AP197" s="277"/>
      <c r="AQ197" s="277"/>
      <c r="AR197" s="277"/>
      <c r="AS197" s="277"/>
      <c r="AT197" s="277"/>
      <c r="AU197" s="277"/>
      <c r="AW197" s="79"/>
      <c r="AY197" s="79"/>
      <c r="AZ197" s="361"/>
    </row>
    <row r="198" spans="1:52" s="78" customFormat="1" x14ac:dyDescent="0.25">
      <c r="A198"/>
      <c r="B198"/>
      <c r="C198" s="74"/>
      <c r="D198" s="74"/>
      <c r="E198"/>
      <c r="F198" s="74"/>
      <c r="G198" s="74"/>
      <c r="H198" s="74"/>
      <c r="I198" s="74"/>
      <c r="J198" s="295"/>
      <c r="K198" s="295"/>
      <c r="L198" s="295"/>
      <c r="M198" s="295"/>
      <c r="N198" s="296"/>
      <c r="O198" s="74"/>
      <c r="P198" s="74"/>
      <c r="Q198" s="74"/>
      <c r="R198" s="74"/>
      <c r="S198" s="38"/>
      <c r="T198" s="38"/>
      <c r="U198" s="38"/>
      <c r="W198" s="278"/>
      <c r="X198" s="80"/>
      <c r="Y198" s="80"/>
      <c r="Z198" s="80"/>
      <c r="AA198" s="80"/>
      <c r="AB198" s="81"/>
      <c r="AC198" s="81"/>
      <c r="AI198" s="277"/>
      <c r="AJ198" s="277"/>
      <c r="AK198" s="277"/>
      <c r="AL198" s="277"/>
      <c r="AM198" s="277"/>
      <c r="AN198" s="277"/>
      <c r="AO198" s="277"/>
      <c r="AP198" s="277"/>
      <c r="AQ198" s="277"/>
      <c r="AR198" s="277"/>
      <c r="AS198" s="277"/>
      <c r="AT198" s="277"/>
      <c r="AU198" s="277"/>
      <c r="AW198" s="79"/>
      <c r="AY198" s="79"/>
      <c r="AZ198" s="361"/>
    </row>
  </sheetData>
  <protectedRanges>
    <protectedRange algorithmName="SHA-512" hashValue="p1zaDFJkdjN+AnmfzFBjbFKRbWYOQQg+cT1DzqDhOzloqO83qQsI/t5kPN30lmEEP3guKkM4uc2fEPeaztRBYA==" saltValue="+Rl2QHA+Wv31lMWEuJdOoQ==" spinCount="100000" sqref="J74:M74" name="Nolan_7_2"/>
    <protectedRange algorithmName="SHA-512" hashValue="p1zaDFJkdjN+AnmfzFBjbFKRbWYOQQg+cT1DzqDhOzloqO83qQsI/t5kPN30lmEEP3guKkM4uc2fEPeaztRBYA==" saltValue="+Rl2QHA+Wv31lMWEuJdOoQ==" spinCount="100000" sqref="J5:M5" name="Nolan_21"/>
    <protectedRange algorithmName="SHA-512" hashValue="7kKMQlnDQnaF2pWl7cOum7Q4v5K+/RuncQjNwOX/9VMC6IpRzPVvdGKHyOugwdH0ncs0E84+2rLp7ry6I8ErdA==" saltValue="jtLfJTgX02XzBGTPnDDc1A==" spinCount="100000" sqref="E70" name="Peggy_1"/>
    <protectedRange algorithmName="SHA-512" hashValue="p1zaDFJkdjN+AnmfzFBjbFKRbWYOQQg+cT1DzqDhOzloqO83qQsI/t5kPN30lmEEP3guKkM4uc2fEPeaztRBYA==" saltValue="+Rl2QHA+Wv31lMWEuJdOoQ==" spinCount="100000" sqref="J70:M70" name="Nolan"/>
    <protectedRange algorithmName="SHA-512" hashValue="7kKMQlnDQnaF2pWl7cOum7Q4v5K+/RuncQjNwOX/9VMC6IpRzPVvdGKHyOugwdH0ncs0E84+2rLp7ry6I8ErdA==" saltValue="jtLfJTgX02XzBGTPnDDc1A==" spinCount="100000" sqref="E57" name="Peggy_11"/>
    <protectedRange algorithmName="SHA-512" hashValue="p1zaDFJkdjN+AnmfzFBjbFKRbWYOQQg+cT1DzqDhOzloqO83qQsI/t5kPN30lmEEP3guKkM4uc2fEPeaztRBYA==" saltValue="+Rl2QHA+Wv31lMWEuJdOoQ==" spinCount="100000" sqref="J57:M57" name="Nolan_9"/>
    <protectedRange algorithmName="SHA-512" hashValue="7kKMQlnDQnaF2pWl7cOum7Q4v5K+/RuncQjNwOX/9VMC6IpRzPVvdGKHyOugwdH0ncs0E84+2rLp7ry6I8ErdA==" saltValue="jtLfJTgX02XzBGTPnDDc1A==" spinCount="100000" sqref="E71" name="Peggy_3"/>
    <protectedRange algorithmName="SHA-512" hashValue="p1zaDFJkdjN+AnmfzFBjbFKRbWYOQQg+cT1DzqDhOzloqO83qQsI/t5kPN30lmEEP3guKkM4uc2fEPeaztRBYA==" saltValue="+Rl2QHA+Wv31lMWEuJdOoQ==" spinCount="100000" sqref="J71:M71" name="Nolan_2"/>
    <protectedRange algorithmName="SHA-512" hashValue="p1zaDFJkdjN+AnmfzFBjbFKRbWYOQQg+cT1DzqDhOzloqO83qQsI/t5kPN30lmEEP3guKkM4uc2fEPeaztRBYA==" saltValue="+Rl2QHA+Wv31lMWEuJdOoQ==" spinCount="100000" sqref="J3:M3" name="Nolan_13_1"/>
    <protectedRange algorithmName="SHA-512" hashValue="p1zaDFJkdjN+AnmfzFBjbFKRbWYOQQg+cT1DzqDhOzloqO83qQsI/t5kPN30lmEEP3guKkM4uc2fEPeaztRBYA==" saltValue="+Rl2QHA+Wv31lMWEuJdOoQ==" spinCount="100000" sqref="L21:M21" name="Nolan_3"/>
    <protectedRange algorithmName="SHA-512" hashValue="7kKMQlnDQnaF2pWl7cOum7Q4v5K+/RuncQjNwOX/9VMC6IpRzPVvdGKHyOugwdH0ncs0E84+2rLp7ry6I8ErdA==" saltValue="jtLfJTgX02XzBGTPnDDc1A==" spinCount="100000" sqref="E22" name="Peggy_2"/>
    <protectedRange algorithmName="SHA-512" hashValue="p1zaDFJkdjN+AnmfzFBjbFKRbWYOQQg+cT1DzqDhOzloqO83qQsI/t5kPN30lmEEP3guKkM4uc2fEPeaztRBYA==" saltValue="+Rl2QHA+Wv31lMWEuJdOoQ==" spinCount="100000" sqref="J22:M22" name="Nolan_1"/>
  </protectedRanges>
  <autoFilter ref="A2:BA135" xr:uid="{12A63D3F-80EA-4B81-A87B-C538A27F25CA}"/>
  <sortState xmlns:xlrd2="http://schemas.microsoft.com/office/spreadsheetml/2017/richdata2" ref="A89:BB132">
    <sortCondition ref="A89:A132"/>
  </sortState>
  <mergeCells count="1">
    <mergeCell ref="X1:AI1"/>
  </mergeCells>
  <phoneticPr fontId="5" type="noConversion"/>
  <conditionalFormatting sqref="AX137 AX53 AX163:AX172 AX175:AX189 AX55:AX57 AX87:AX89 AX23:AX26 AX4:AX21 AX28:AX38 AX40:AX46 AX91:AX135 AX59:AX85">
    <cfRule type="cellIs" dxfId="1167" priority="186" operator="lessThan">
      <formula>V4</formula>
    </cfRule>
    <cfRule type="cellIs" dxfId="1166" priority="187" operator="greaterThan">
      <formula>V4</formula>
    </cfRule>
    <cfRule type="cellIs" dxfId="1165" priority="188" operator="equal">
      <formula>V4</formula>
    </cfRule>
  </conditionalFormatting>
  <conditionalFormatting sqref="O152:O154 O156:O159 O191:O1048576 O163:O166 O168:O189 O27:O30 O1:O25 O32:O146">
    <cfRule type="cellIs" dxfId="1164" priority="184" operator="equal">
      <formula>"no"</formula>
    </cfRule>
    <cfRule type="cellIs" dxfId="1163" priority="185" operator="equal">
      <formula>"yes"</formula>
    </cfRule>
  </conditionalFormatting>
  <conditionalFormatting sqref="O19:O21">
    <cfRule type="cellIs" dxfId="1162" priority="182" operator="equal">
      <formula>"no"</formula>
    </cfRule>
    <cfRule type="cellIs" dxfId="1161" priority="183" operator="equal">
      <formula>"yes"</formula>
    </cfRule>
  </conditionalFormatting>
  <conditionalFormatting sqref="O35">
    <cfRule type="cellIs" dxfId="1160" priority="180" operator="equal">
      <formula>"no"</formula>
    </cfRule>
    <cfRule type="cellIs" dxfId="1159" priority="181" operator="equal">
      <formula>"yes"</formula>
    </cfRule>
  </conditionalFormatting>
  <conditionalFormatting sqref="V31:V32 V14:V16 V35:V37 V18:V20 V26 V163:V166 V40 V108:V109 V168:V189 V47 V118:V134 V9:V11 V29 V57 V4:V6 V69:V81 V84 V49:V50 V52 V65:V66 V86 V89:V103 V59:V63">
    <cfRule type="cellIs" dxfId="1158" priority="179" operator="equal">
      <formula>0</formula>
    </cfRule>
  </conditionalFormatting>
  <conditionalFormatting sqref="AX47:AX52">
    <cfRule type="cellIs" dxfId="1157" priority="176" operator="lessThan">
      <formula>V47</formula>
    </cfRule>
    <cfRule type="cellIs" dxfId="1156" priority="177" operator="greaterThan">
      <formula>V47</formula>
    </cfRule>
    <cfRule type="cellIs" dxfId="1155" priority="178" operator="equal">
      <formula>V47</formula>
    </cfRule>
  </conditionalFormatting>
  <conditionalFormatting sqref="D152:N154 D156:N159 D191:N1048576 N35:N36 J37:N37 D35:I37 N90 P187:Q189 E61:E62 F60:I62 D163:N166 P171:Q171 F167:I168 O26:U26 O31 C165 J79:N80 N78 J61:N77 J109:K109 P163:Q168 D168:N168 J118:K118 J119:N122 C176:C183 D170:N183 S171:U171 S187:U189 S163:U168 J167:N167 C177:D177 D165:D168 D135:N146 H111:I122 C134:G134 L104:N118 D104:I110 C184:N189 D111:G133 H121:N134 D38:N59 D70:N76 E63:I80 D90:I90 C84:C91 D60:D80 L60:N60 C92:N94 D91:N103 C59:N59 C95:C133 D81:N89 D1:N34">
    <cfRule type="cellIs" dxfId="1154" priority="175" operator="equal">
      <formula>"TBD"</formula>
    </cfRule>
  </conditionalFormatting>
  <conditionalFormatting sqref="X139:AV139">
    <cfRule type="cellIs" dxfId="1153" priority="152" operator="equal">
      <formula>0</formula>
    </cfRule>
    <cfRule type="cellIs" dxfId="1152" priority="173" operator="lessThan">
      <formula>0</formula>
    </cfRule>
    <cfRule type="cellIs" dxfId="1151" priority="174" operator="greaterThan">
      <formula>0</formula>
    </cfRule>
  </conditionalFormatting>
  <conditionalFormatting sqref="O147:O151">
    <cfRule type="cellIs" dxfId="1150" priority="171" operator="equal">
      <formula>"no"</formula>
    </cfRule>
    <cfRule type="cellIs" dxfId="1149" priority="172" operator="equal">
      <formula>"yes"</formula>
    </cfRule>
  </conditionalFormatting>
  <conditionalFormatting sqref="D147:N151">
    <cfRule type="cellIs" dxfId="1148" priority="170" operator="equal">
      <formula>"TBD"</formula>
    </cfRule>
  </conditionalFormatting>
  <conditionalFormatting sqref="X147:AI148 AZ162:AZ190 AZ3:AZ6 AZ8:AZ137">
    <cfRule type="cellIs" dxfId="1147" priority="168" operator="lessThan">
      <formula>0</formula>
    </cfRule>
    <cfRule type="cellIs" dxfId="1146" priority="169" operator="greaterThan">
      <formula>0</formula>
    </cfRule>
  </conditionalFormatting>
  <conditionalFormatting sqref="O155">
    <cfRule type="cellIs" dxfId="1145" priority="166" operator="equal">
      <formula>"no"</formula>
    </cfRule>
    <cfRule type="cellIs" dxfId="1144" priority="167" operator="equal">
      <formula>"yes"</formula>
    </cfRule>
  </conditionalFormatting>
  <conditionalFormatting sqref="D155:N155">
    <cfRule type="cellIs" dxfId="1143" priority="165" operator="equal">
      <formula>"TBD"</formula>
    </cfRule>
  </conditionalFormatting>
  <conditionalFormatting sqref="X155:AI155">
    <cfRule type="cellIs" dxfId="1142" priority="163" operator="lessThan">
      <formula>0</formula>
    </cfRule>
    <cfRule type="cellIs" dxfId="1141" priority="164" operator="greaterThan">
      <formula>0</formula>
    </cfRule>
  </conditionalFormatting>
  <conditionalFormatting sqref="O160:O190">
    <cfRule type="cellIs" dxfId="1140" priority="161" operator="equal">
      <formula>"no"</formula>
    </cfRule>
    <cfRule type="cellIs" dxfId="1139" priority="162" operator="equal">
      <formula>"yes"</formula>
    </cfRule>
  </conditionalFormatting>
  <conditionalFormatting sqref="D160:N190">
    <cfRule type="cellIs" dxfId="1138" priority="160" operator="equal">
      <formula>"TBD"</formula>
    </cfRule>
  </conditionalFormatting>
  <conditionalFormatting sqref="X160:AI190">
    <cfRule type="cellIs" dxfId="1137" priority="158" operator="lessThan">
      <formula>0</formula>
    </cfRule>
    <cfRule type="cellIs" dxfId="1136" priority="159" operator="greaterThan">
      <formula>0</formula>
    </cfRule>
  </conditionalFormatting>
  <conditionalFormatting sqref="W139">
    <cfRule type="cellIs" dxfId="1135" priority="156" operator="lessThan">
      <formula>0</formula>
    </cfRule>
    <cfRule type="cellIs" dxfId="1134" priority="157" operator="greaterThan">
      <formula>0</formula>
    </cfRule>
  </conditionalFormatting>
  <conditionalFormatting sqref="X143:Z143">
    <cfRule type="cellIs" dxfId="1133" priority="153" operator="equal">
      <formula>0</formula>
    </cfRule>
    <cfRule type="cellIs" dxfId="1132" priority="154" operator="lessThan">
      <formula>0</formula>
    </cfRule>
    <cfRule type="cellIs" dxfId="1131" priority="155" operator="greaterThan">
      <formula>0</formula>
    </cfRule>
  </conditionalFormatting>
  <conditionalFormatting sqref="X151:Z151">
    <cfRule type="cellIs" dxfId="1130" priority="149" operator="lessThan">
      <formula>0</formula>
    </cfRule>
    <cfRule type="cellIs" dxfId="1129" priority="150" operator="equal">
      <formula>0</formula>
    </cfRule>
    <cfRule type="cellIs" dxfId="1128" priority="151" operator="greaterThan">
      <formula>0</formula>
    </cfRule>
  </conditionalFormatting>
  <conditionalFormatting sqref="O8">
    <cfRule type="cellIs" dxfId="1127" priority="144" operator="equal">
      <formula>"no"</formula>
    </cfRule>
    <cfRule type="cellIs" dxfId="1126" priority="145" operator="equal">
      <formula>"yes"</formula>
    </cfRule>
  </conditionalFormatting>
  <conditionalFormatting sqref="V8">
    <cfRule type="cellIs" dxfId="1125" priority="143" operator="equal">
      <formula>0</formula>
    </cfRule>
  </conditionalFormatting>
  <conditionalFormatting sqref="D8:N8">
    <cfRule type="cellIs" dxfId="1124" priority="142" operator="equal">
      <formula>"TBD"</formula>
    </cfRule>
  </conditionalFormatting>
  <conditionalFormatting sqref="AX173">
    <cfRule type="cellIs" dxfId="1123" priority="139" operator="lessThan">
      <formula>V173</formula>
    </cfRule>
    <cfRule type="cellIs" dxfId="1122" priority="140" operator="greaterThan">
      <formula>V173</formula>
    </cfRule>
    <cfRule type="cellIs" dxfId="1121" priority="141" operator="equal">
      <formula>V173</formula>
    </cfRule>
  </conditionalFormatting>
  <conditionalFormatting sqref="O30">
    <cfRule type="cellIs" dxfId="1120" priority="137" operator="equal">
      <formula>"no"</formula>
    </cfRule>
    <cfRule type="cellIs" dxfId="1119" priority="138" operator="equal">
      <formula>"yes"</formula>
    </cfRule>
  </conditionalFormatting>
  <conditionalFormatting sqref="D30:N30">
    <cfRule type="cellIs" dxfId="1118" priority="136" operator="equal">
      <formula>"TBD"</formula>
    </cfRule>
  </conditionalFormatting>
  <conditionalFormatting sqref="O33">
    <cfRule type="cellIs" dxfId="1117" priority="131" operator="equal">
      <formula>"no"</formula>
    </cfRule>
    <cfRule type="cellIs" dxfId="1116" priority="132" operator="equal">
      <formula>"yes"</formula>
    </cfRule>
  </conditionalFormatting>
  <conditionalFormatting sqref="D33:N33">
    <cfRule type="cellIs" dxfId="1115" priority="130" operator="equal">
      <formula>"TBD"</formula>
    </cfRule>
  </conditionalFormatting>
  <conditionalFormatting sqref="O91:O94">
    <cfRule type="cellIs" dxfId="1114" priority="125" operator="equal">
      <formula>"no"</formula>
    </cfRule>
    <cfRule type="cellIs" dxfId="1113" priority="126" operator="equal">
      <formula>"yes"</formula>
    </cfRule>
  </conditionalFormatting>
  <conditionalFormatting sqref="D91:N94">
    <cfRule type="cellIs" dxfId="1112" priority="124" operator="equal">
      <formula>"TBD"</formula>
    </cfRule>
  </conditionalFormatting>
  <conditionalFormatting sqref="E79 J79:M79">
    <cfRule type="cellIs" dxfId="1111" priority="121" operator="equal">
      <formula>"TBD"</formula>
    </cfRule>
  </conditionalFormatting>
  <conditionalFormatting sqref="O42:O44">
    <cfRule type="cellIs" dxfId="1110" priority="119" operator="equal">
      <formula>"no"</formula>
    </cfRule>
    <cfRule type="cellIs" dxfId="1109" priority="120" operator="equal">
      <formula>"yes"</formula>
    </cfRule>
  </conditionalFormatting>
  <conditionalFormatting sqref="V44">
    <cfRule type="cellIs" dxfId="1108" priority="118" operator="equal">
      <formula>0</formula>
    </cfRule>
  </conditionalFormatting>
  <conditionalFormatting sqref="D42:N44">
    <cfRule type="cellIs" dxfId="1107" priority="117" operator="equal">
      <formula>"TBD"</formula>
    </cfRule>
  </conditionalFormatting>
  <conditionalFormatting sqref="O54:O55">
    <cfRule type="cellIs" dxfId="1106" priority="115" operator="equal">
      <formula>"no"</formula>
    </cfRule>
    <cfRule type="cellIs" dxfId="1105" priority="116" operator="equal">
      <formula>"yes"</formula>
    </cfRule>
  </conditionalFormatting>
  <conditionalFormatting sqref="D54:N55">
    <cfRule type="cellIs" dxfId="1104" priority="114" operator="equal">
      <formula>"TBD"</formula>
    </cfRule>
  </conditionalFormatting>
  <conditionalFormatting sqref="N35:N36 J37:N37 C35:I37 N90 F60:I62 E61:E62 F167:I168 O26:U26 O31 J79:N80 N78 J61:N77 J109:K109 J118:K118 J119:N122 J167:N167 C167:D168 H111:I122 C134:G134 L104:N118 D104:I110 P163:Q189 S163:U189 C135:N166 C168:N1048576 D111:G133 H121:N134 C70:N76 E63:I80 C90:I90 C60:D80 L60:N60 C91:N103 C38:N59 C104:C133 C81:N89 C1:N34">
    <cfRule type="containsText" dxfId="1103" priority="112" operator="containsText" text="DEAD">
      <formula>NOT(ISERROR(SEARCH("DEAD",C1)))</formula>
    </cfRule>
    <cfRule type="containsText" dxfId="1102" priority="113" operator="containsText" text="HOLD">
      <formula>NOT(ISERROR(SEARCH("HOLD",C1)))</formula>
    </cfRule>
  </conditionalFormatting>
  <conditionalFormatting sqref="D73:N73">
    <cfRule type="cellIs" dxfId="1101" priority="111" operator="equal">
      <formula>"TBD"</formula>
    </cfRule>
  </conditionalFormatting>
  <conditionalFormatting sqref="D70:N70">
    <cfRule type="cellIs" dxfId="1100" priority="110" operator="equal">
      <formula>"TBD"</formula>
    </cfRule>
  </conditionalFormatting>
  <conditionalFormatting sqref="D57:N57">
    <cfRule type="cellIs" dxfId="1099" priority="109" operator="equal">
      <formula>"TBD"</formula>
    </cfRule>
  </conditionalFormatting>
  <conditionalFormatting sqref="N3:N11 D71:N72">
    <cfRule type="cellIs" dxfId="1098" priority="108" operator="equal">
      <formula>"TBD"</formula>
    </cfRule>
  </conditionalFormatting>
  <conditionalFormatting sqref="E93:K94 J60:K60 E60">
    <cfRule type="cellIs" dxfId="1097" priority="103" operator="equal">
      <formula>"TBD"</formula>
    </cfRule>
  </conditionalFormatting>
  <conditionalFormatting sqref="J60:K60 E93:K94 E60">
    <cfRule type="containsText" dxfId="1096" priority="101" operator="containsText" text="DEAD">
      <formula>NOT(ISERROR(SEARCH("DEAD",E60)))</formula>
    </cfRule>
    <cfRule type="containsText" dxfId="1095" priority="102" operator="containsText" text="HOLD">
      <formula>NOT(ISERROR(SEARCH("HOLD",E60)))</formula>
    </cfRule>
  </conditionalFormatting>
  <conditionalFormatting sqref="O162">
    <cfRule type="cellIs" dxfId="1094" priority="99" operator="equal">
      <formula>"no"</formula>
    </cfRule>
    <cfRule type="cellIs" dxfId="1093" priority="100" operator="equal">
      <formula>"yes"</formula>
    </cfRule>
  </conditionalFormatting>
  <conditionalFormatting sqref="D162:N162">
    <cfRule type="cellIs" dxfId="1092" priority="98" operator="equal">
      <formula>"TBD"</formula>
    </cfRule>
  </conditionalFormatting>
  <conditionalFormatting sqref="AX190">
    <cfRule type="cellIs" dxfId="1091" priority="95" operator="lessThan">
      <formula>V190</formula>
    </cfRule>
    <cfRule type="cellIs" dxfId="1090" priority="96" operator="greaterThan">
      <formula>V190</formula>
    </cfRule>
    <cfRule type="cellIs" dxfId="1089" priority="97" operator="equal">
      <formula>V190</formula>
    </cfRule>
  </conditionalFormatting>
  <conditionalFormatting sqref="O190">
    <cfRule type="cellIs" dxfId="1088" priority="93" operator="equal">
      <formula>"no"</formula>
    </cfRule>
    <cfRule type="cellIs" dxfId="1087" priority="94" operator="equal">
      <formula>"yes"</formula>
    </cfRule>
  </conditionalFormatting>
  <conditionalFormatting sqref="D190:N190">
    <cfRule type="cellIs" dxfId="1086" priority="92" operator="equal">
      <formula>"TBD"</formula>
    </cfRule>
  </conditionalFormatting>
  <conditionalFormatting sqref="P163:Q164 D165:E165 D169:N170 P166:Q171 S163:U164 S166:U171 C170:D170 D166 C163:C171">
    <cfRule type="cellIs" dxfId="1085" priority="91" operator="equal">
      <formula>"SOLD"</formula>
    </cfRule>
  </conditionalFormatting>
  <conditionalFormatting sqref="D163:N166 D171:N171 P165:Q165 F167:I168 S165:U165 J167:N167 D165:D168">
    <cfRule type="cellIs" dxfId="1084" priority="90" operator="equal">
      <formula>"SOLD"</formula>
    </cfRule>
  </conditionalFormatting>
  <conditionalFormatting sqref="Q189">
    <cfRule type="cellIs" dxfId="1083" priority="89" operator="equal">
      <formula>"TBD"</formula>
    </cfRule>
  </conditionalFormatting>
  <conditionalFormatting sqref="P175:Q175">
    <cfRule type="cellIs" dxfId="1082" priority="88" operator="equal">
      <formula>"TBD"</formula>
    </cfRule>
  </conditionalFormatting>
  <conditionalFormatting sqref="P175:Q175">
    <cfRule type="containsText" dxfId="1081" priority="86" operator="containsText" text="DEAD">
      <formula>NOT(ISERROR(SEARCH("DEAD",P175)))</formula>
    </cfRule>
    <cfRule type="containsText" dxfId="1080" priority="87" operator="containsText" text="HOLD">
      <formula>NOT(ISERROR(SEARCH("HOLD",P175)))</formula>
    </cfRule>
  </conditionalFormatting>
  <conditionalFormatting sqref="V105">
    <cfRule type="cellIs" dxfId="1079" priority="81" operator="equal">
      <formula>0</formula>
    </cfRule>
  </conditionalFormatting>
  <conditionalFormatting sqref="J105:K105">
    <cfRule type="cellIs" dxfId="1078" priority="80" operator="equal">
      <formula>"TBD"</formula>
    </cfRule>
  </conditionalFormatting>
  <conditionalFormatting sqref="J105:K105">
    <cfRule type="containsText" dxfId="1077" priority="78" operator="containsText" text="DEAD">
      <formula>NOT(ISERROR(SEARCH("DEAD",J105)))</formula>
    </cfRule>
    <cfRule type="containsText" dxfId="1076" priority="79" operator="containsText" text="HOLD">
      <formula>NOT(ISERROR(SEARCH("HOLD",J105)))</formula>
    </cfRule>
  </conditionalFormatting>
  <conditionalFormatting sqref="V168">
    <cfRule type="cellIs" dxfId="1075" priority="77" operator="equal">
      <formula>0</formula>
    </cfRule>
  </conditionalFormatting>
  <conditionalFormatting sqref="V104">
    <cfRule type="cellIs" dxfId="1074" priority="76" operator="equal">
      <formula>0</formula>
    </cfRule>
  </conditionalFormatting>
  <conditionalFormatting sqref="J104:K104">
    <cfRule type="cellIs" dxfId="1073" priority="75" operator="equal">
      <formula>"TBD"</formula>
    </cfRule>
  </conditionalFormatting>
  <conditionalFormatting sqref="J104:K104">
    <cfRule type="containsText" dxfId="1072" priority="73" operator="containsText" text="DEAD">
      <formula>NOT(ISERROR(SEARCH("DEAD",J104)))</formula>
    </cfRule>
    <cfRule type="containsText" dxfId="1071" priority="74" operator="containsText" text="HOLD">
      <formula>NOT(ISERROR(SEARCH("HOLD",J104)))</formula>
    </cfRule>
  </conditionalFormatting>
  <conditionalFormatting sqref="V106">
    <cfRule type="cellIs" dxfId="1070" priority="72" operator="equal">
      <formula>0</formula>
    </cfRule>
  </conditionalFormatting>
  <conditionalFormatting sqref="J106:K106">
    <cfRule type="cellIs" dxfId="1069" priority="71" operator="equal">
      <formula>"TBD"</formula>
    </cfRule>
  </conditionalFormatting>
  <conditionalFormatting sqref="J106:K106">
    <cfRule type="containsText" dxfId="1068" priority="69" operator="containsText" text="DEAD">
      <formula>NOT(ISERROR(SEARCH("DEAD",J106)))</formula>
    </cfRule>
    <cfRule type="containsText" dxfId="1067" priority="70" operator="containsText" text="HOLD">
      <formula>NOT(ISERROR(SEARCH("HOLD",J106)))</formula>
    </cfRule>
  </conditionalFormatting>
  <conditionalFormatting sqref="V107">
    <cfRule type="cellIs" dxfId="1066" priority="68" operator="equal">
      <formula>0</formula>
    </cfRule>
  </conditionalFormatting>
  <conditionalFormatting sqref="J107:K108">
    <cfRule type="cellIs" dxfId="1065" priority="67" operator="equal">
      <formula>"TBD"</formula>
    </cfRule>
  </conditionalFormatting>
  <conditionalFormatting sqref="J107:K108">
    <cfRule type="containsText" dxfId="1064" priority="65" operator="containsText" text="DEAD">
      <formula>NOT(ISERROR(SEARCH("DEAD",J107)))</formula>
    </cfRule>
    <cfRule type="containsText" dxfId="1063" priority="66" operator="containsText" text="HOLD">
      <formula>NOT(ISERROR(SEARCH("HOLD",J107)))</formula>
    </cfRule>
  </conditionalFormatting>
  <conditionalFormatting sqref="V110:V116">
    <cfRule type="cellIs" dxfId="1062" priority="60" operator="equal">
      <formula>0</formula>
    </cfRule>
  </conditionalFormatting>
  <conditionalFormatting sqref="J110:K116">
    <cfRule type="cellIs" dxfId="1061" priority="59" operator="equal">
      <formula>"TBD"</formula>
    </cfRule>
  </conditionalFormatting>
  <conditionalFormatting sqref="J110:K116">
    <cfRule type="containsText" dxfId="1060" priority="57" operator="containsText" text="DEAD">
      <formula>NOT(ISERROR(SEARCH("DEAD",J110)))</formula>
    </cfRule>
    <cfRule type="containsText" dxfId="1059" priority="58" operator="containsText" text="HOLD">
      <formula>NOT(ISERROR(SEARCH("HOLD",J110)))</formula>
    </cfRule>
  </conditionalFormatting>
  <conditionalFormatting sqref="V117">
    <cfRule type="cellIs" dxfId="1058" priority="56" operator="equal">
      <formula>0</formula>
    </cfRule>
  </conditionalFormatting>
  <conditionalFormatting sqref="J117:K117">
    <cfRule type="cellIs" dxfId="1057" priority="55" operator="equal">
      <formula>"TBD"</formula>
    </cfRule>
  </conditionalFormatting>
  <conditionalFormatting sqref="J117:K117">
    <cfRule type="containsText" dxfId="1056" priority="53" operator="containsText" text="DEAD">
      <formula>NOT(ISERROR(SEARCH("DEAD",J117)))</formula>
    </cfRule>
    <cfRule type="containsText" dxfId="1055" priority="54" operator="containsText" text="HOLD">
      <formula>NOT(ISERROR(SEARCH("HOLD",J117)))</formula>
    </cfRule>
  </conditionalFormatting>
  <conditionalFormatting sqref="AX90">
    <cfRule type="cellIs" dxfId="1054" priority="50" operator="lessThan">
      <formula>V90</formula>
    </cfRule>
    <cfRule type="cellIs" dxfId="1053" priority="51" operator="greaterThan">
      <formula>V90</formula>
    </cfRule>
    <cfRule type="cellIs" dxfId="1052" priority="52" operator="equal">
      <formula>V90</formula>
    </cfRule>
  </conditionalFormatting>
  <conditionalFormatting sqref="V90">
    <cfRule type="cellIs" dxfId="1051" priority="49" operator="equal">
      <formula>0</formula>
    </cfRule>
  </conditionalFormatting>
  <conditionalFormatting sqref="J90:M90">
    <cfRule type="cellIs" dxfId="1050" priority="48" operator="equal">
      <formula>"TBD"</formula>
    </cfRule>
  </conditionalFormatting>
  <conditionalFormatting sqref="J90:M90">
    <cfRule type="containsText" dxfId="1049" priority="46" operator="containsText" text="DEAD">
      <formula>NOT(ISERROR(SEARCH("DEAD",J90)))</formula>
    </cfRule>
    <cfRule type="containsText" dxfId="1048" priority="47" operator="containsText" text="HOLD">
      <formula>NOT(ISERROR(SEARCH("HOLD",J90)))</formula>
    </cfRule>
  </conditionalFormatting>
  <conditionalFormatting sqref="AX92:AX94 AX72 AX173:AX189">
    <cfRule type="cellIs" dxfId="1047" priority="189" operator="greaterThan">
      <formula>$V$26</formula>
    </cfRule>
    <cfRule type="cellIs" dxfId="1046" priority="190" operator="lessThan">
      <formula>$V$26</formula>
    </cfRule>
    <cfRule type="cellIs" dxfId="1045" priority="191" operator="equal">
      <formula>$V$26</formula>
    </cfRule>
    <cfRule type="cellIs" dxfId="1044" priority="192" operator="equal">
      <formula>$W$26</formula>
    </cfRule>
  </conditionalFormatting>
  <conditionalFormatting sqref="S18:S20 S49 S170 S40 S52 S177:S178 S168 S184:S186 S8:S11 S29 S57 S4:S6 S86 S23:S25 S65 S68:S80 S89:S134 S59:S62">
    <cfRule type="cellIs" dxfId="1043" priority="42" operator="equal">
      <formula>0</formula>
    </cfRule>
  </conditionalFormatting>
  <conditionalFormatting sqref="S14:S16">
    <cfRule type="cellIs" dxfId="1042" priority="41" operator="equal">
      <formula>0</formula>
    </cfRule>
  </conditionalFormatting>
  <conditionalFormatting sqref="S32">
    <cfRule type="cellIs" dxfId="1041" priority="40" operator="equal">
      <formula>0</formula>
    </cfRule>
  </conditionalFormatting>
  <conditionalFormatting sqref="S35:S37">
    <cfRule type="cellIs" dxfId="1040" priority="39" operator="equal">
      <formula>0</formula>
    </cfRule>
  </conditionalFormatting>
  <conditionalFormatting sqref="S44">
    <cfRule type="cellIs" dxfId="1039" priority="37" operator="equal">
      <formula>0</formula>
    </cfRule>
  </conditionalFormatting>
  <conditionalFormatting sqref="S49 S52">
    <cfRule type="cellIs" dxfId="1038" priority="36" operator="equal">
      <formula>0</formula>
    </cfRule>
  </conditionalFormatting>
  <conditionalFormatting sqref="S81">
    <cfRule type="cellIs" dxfId="1037" priority="34" operator="equal">
      <formula>0</formula>
    </cfRule>
  </conditionalFormatting>
  <conditionalFormatting sqref="O167:O168">
    <cfRule type="cellIs" dxfId="1036" priority="29" operator="equal">
      <formula>"no"</formula>
    </cfRule>
    <cfRule type="cellIs" dxfId="1035" priority="30" operator="equal">
      <formula>"yes"</formula>
    </cfRule>
  </conditionalFormatting>
  <conditionalFormatting sqref="E167:E168 J168:N168">
    <cfRule type="cellIs" dxfId="1034" priority="28" operator="equal">
      <formula>"TBD"</formula>
    </cfRule>
  </conditionalFormatting>
  <conditionalFormatting sqref="E167:E168 J168:N168">
    <cfRule type="containsText" dxfId="1033" priority="26" operator="containsText" text="DEAD">
      <formula>NOT(ISERROR(SEARCH("DEAD",E167)))</formula>
    </cfRule>
    <cfRule type="containsText" dxfId="1032" priority="27" operator="containsText" text="HOLD">
      <formula>NOT(ISERROR(SEARCH("HOLD",E167)))</formula>
    </cfRule>
  </conditionalFormatting>
  <conditionalFormatting sqref="V167:V168">
    <cfRule type="cellIs" dxfId="1031" priority="25" operator="equal">
      <formula>0</formula>
    </cfRule>
  </conditionalFormatting>
  <conditionalFormatting sqref="D169:D170">
    <cfRule type="cellIs" dxfId="1030" priority="23" operator="equal">
      <formula>"SOLD"</formula>
    </cfRule>
  </conditionalFormatting>
  <conditionalFormatting sqref="C169:D170">
    <cfRule type="cellIs" dxfId="1029" priority="24" operator="equal">
      <formula>"TBD"</formula>
    </cfRule>
  </conditionalFormatting>
  <conditionalFormatting sqref="J78:M78">
    <cfRule type="cellIs" dxfId="1028" priority="22" operator="equal">
      <formula>"TBD"</formula>
    </cfRule>
  </conditionalFormatting>
  <conditionalFormatting sqref="J78:M78">
    <cfRule type="containsText" dxfId="1027" priority="20" operator="containsText" text="DEAD">
      <formula>NOT(ISERROR(SEARCH("DEAD",J78)))</formula>
    </cfRule>
    <cfRule type="containsText" dxfId="1026" priority="21" operator="containsText" text="HOLD">
      <formula>NOT(ISERROR(SEARCH("HOLD",J78)))</formula>
    </cfRule>
  </conditionalFormatting>
  <conditionalFormatting sqref="J168:N168">
    <cfRule type="cellIs" dxfId="1025" priority="19" operator="equal">
      <formula>"SOLD"</formula>
    </cfRule>
  </conditionalFormatting>
  <conditionalFormatting sqref="R187:R189 R171 R163:R168">
    <cfRule type="cellIs" dxfId="1024" priority="18" operator="equal">
      <formula>"TBD"</formula>
    </cfRule>
  </conditionalFormatting>
  <conditionalFormatting sqref="R163:R189">
    <cfRule type="containsText" dxfId="1023" priority="16" operator="containsText" text="DEAD">
      <formula>NOT(ISERROR(SEARCH("DEAD",R163)))</formula>
    </cfRule>
    <cfRule type="containsText" dxfId="1022" priority="17" operator="containsText" text="HOLD">
      <formula>NOT(ISERROR(SEARCH("HOLD",R163)))</formula>
    </cfRule>
  </conditionalFormatting>
  <conditionalFormatting sqref="R163:R164 R166:R171">
    <cfRule type="cellIs" dxfId="1021" priority="15" operator="equal">
      <formula>"SOLD"</formula>
    </cfRule>
  </conditionalFormatting>
  <conditionalFormatting sqref="R165">
    <cfRule type="cellIs" dxfId="1020" priority="14" operator="equal">
      <formula>"SOLD"</formula>
    </cfRule>
  </conditionalFormatting>
  <conditionalFormatting sqref="R189">
    <cfRule type="cellIs" dxfId="1019" priority="13" operator="equal">
      <formula>"TBD"</formula>
    </cfRule>
  </conditionalFormatting>
  <conditionalFormatting sqref="R175">
    <cfRule type="cellIs" dxfId="1018" priority="12" operator="equal">
      <formula>"TBD"</formula>
    </cfRule>
  </conditionalFormatting>
  <conditionalFormatting sqref="R175">
    <cfRule type="containsText" dxfId="1017" priority="10" operator="containsText" text="DEAD">
      <formula>NOT(ISERROR(SEARCH("DEAD",R175)))</formula>
    </cfRule>
    <cfRule type="containsText" dxfId="1016" priority="11" operator="containsText" text="HOLD">
      <formula>NOT(ISERROR(SEARCH("HOLD",R175)))</formula>
    </cfRule>
  </conditionalFormatting>
  <conditionalFormatting sqref="D169:D170">
    <cfRule type="cellIs" dxfId="1015" priority="9" operator="equal">
      <formula>"TBD"</formula>
    </cfRule>
  </conditionalFormatting>
  <conditionalFormatting sqref="D169:D170">
    <cfRule type="cellIs" dxfId="1014" priority="8" operator="equal">
      <formula>"SOLD"</formula>
    </cfRule>
  </conditionalFormatting>
  <conditionalFormatting sqref="C166:D166">
    <cfRule type="cellIs" dxfId="1013" priority="7" operator="equal">
      <formula>"TBD"</formula>
    </cfRule>
  </conditionalFormatting>
  <conditionalFormatting sqref="C166:D166">
    <cfRule type="cellIs" dxfId="1012" priority="6" operator="equal">
      <formula>"SOLD"</formula>
    </cfRule>
  </conditionalFormatting>
  <conditionalFormatting sqref="V87">
    <cfRule type="cellIs" dxfId="1011" priority="1" operator="equal">
      <formula>0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B033E-ED50-4051-9E61-2AFEDD2E1F31}">
  <dimension ref="A1:BD212"/>
  <sheetViews>
    <sheetView zoomScaleNormal="100" zoomScaleSheetLayoutView="85" workbookViewId="0">
      <pane xSplit="2" ySplit="2" topLeftCell="AG3" activePane="bottomRight" state="frozen"/>
      <selection pane="topRight" activeCell="C1" sqref="C1"/>
      <selection pane="bottomLeft" activeCell="A3" sqref="A3"/>
      <selection pane="bottomRight" activeCell="AP89" sqref="AP89"/>
    </sheetView>
  </sheetViews>
  <sheetFormatPr defaultRowHeight="15" x14ac:dyDescent="0.25"/>
  <cols>
    <col min="1" max="1" width="12.42578125" customWidth="1"/>
    <col min="2" max="2" width="49" bestFit="1" customWidth="1"/>
    <col min="3" max="3" width="11" style="74" customWidth="1"/>
    <col min="4" max="4" width="16.5703125" style="74" customWidth="1"/>
    <col min="5" max="5" width="46.5703125" customWidth="1"/>
    <col min="6" max="7" width="16.5703125" style="74" customWidth="1"/>
    <col min="8" max="8" width="34" style="74" customWidth="1"/>
    <col min="9" max="10" width="13.5703125" style="74" customWidth="1"/>
    <col min="11" max="14" width="13.5703125" style="295" customWidth="1"/>
    <col min="15" max="15" width="13.5703125" style="296" customWidth="1"/>
    <col min="16" max="16" width="11.5703125" style="74" customWidth="1"/>
    <col min="17" max="17" width="13.5703125" style="74" customWidth="1"/>
    <col min="18" max="18" width="12.5703125" style="74" customWidth="1"/>
    <col min="19" max="19" width="12.5703125" style="296" customWidth="1"/>
    <col min="20" max="23" width="16.5703125" style="38" customWidth="1"/>
    <col min="24" max="24" width="18.5703125" style="78" customWidth="1"/>
    <col min="25" max="25" width="17.42578125" style="278" customWidth="1"/>
    <col min="26" max="26" width="19.5703125" style="277" customWidth="1"/>
    <col min="27" max="28" width="19.5703125" style="78" customWidth="1"/>
    <col min="29" max="31" width="19.5703125" style="81" customWidth="1"/>
    <col min="32" max="36" width="19.5703125" style="78" customWidth="1"/>
    <col min="37" max="37" width="19.5703125" style="277" customWidth="1"/>
    <col min="38" max="49" width="18.42578125" style="277" customWidth="1"/>
    <col min="50" max="50" width="16.5703125" style="78" customWidth="1"/>
    <col min="51" max="51" width="3.42578125" style="79" customWidth="1"/>
    <col min="52" max="52" width="17.42578125" style="78" customWidth="1"/>
    <col min="53" max="53" width="3.42578125" style="79" customWidth="1"/>
    <col min="54" max="54" width="17.5703125" style="361" customWidth="1"/>
    <col min="55" max="55" width="76.5703125" customWidth="1"/>
    <col min="56" max="56" width="10.5703125" bestFit="1" customWidth="1"/>
  </cols>
  <sheetData>
    <row r="1" spans="1:56" s="36" customFormat="1" ht="20.100000000000001" customHeight="1" x14ac:dyDescent="0.25">
      <c r="A1" s="437" t="s">
        <v>858</v>
      </c>
      <c r="B1" s="437" t="s">
        <v>453</v>
      </c>
      <c r="C1" s="437" t="s">
        <v>455</v>
      </c>
      <c r="D1" s="437" t="s">
        <v>859</v>
      </c>
      <c r="E1" s="437" t="s">
        <v>457</v>
      </c>
      <c r="F1" s="437"/>
      <c r="G1" s="437" t="s">
        <v>457</v>
      </c>
      <c r="H1" s="437" t="s">
        <v>454</v>
      </c>
      <c r="I1" s="437" t="s">
        <v>857</v>
      </c>
      <c r="J1" s="437" t="s">
        <v>457</v>
      </c>
      <c r="K1" s="318" t="s">
        <v>457</v>
      </c>
      <c r="L1" s="318" t="s">
        <v>457</v>
      </c>
      <c r="M1" s="318" t="s">
        <v>457</v>
      </c>
      <c r="N1" s="318" t="s">
        <v>457</v>
      </c>
      <c r="O1" s="318" t="s">
        <v>457</v>
      </c>
      <c r="P1" s="318" t="s">
        <v>457</v>
      </c>
      <c r="Q1" s="437" t="s">
        <v>455</v>
      </c>
      <c r="R1" s="437" t="s">
        <v>455</v>
      </c>
      <c r="S1" s="331" t="s">
        <v>455</v>
      </c>
      <c r="T1" s="331" t="s">
        <v>455</v>
      </c>
      <c r="U1" s="331" t="s">
        <v>453</v>
      </c>
      <c r="V1" s="331" t="s">
        <v>453</v>
      </c>
      <c r="W1" s="438" t="s">
        <v>457</v>
      </c>
      <c r="X1" s="438" t="s">
        <v>457</v>
      </c>
      <c r="Y1" s="280">
        <v>2020</v>
      </c>
      <c r="Z1" s="529">
        <v>2021</v>
      </c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30">
        <v>2022</v>
      </c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282">
        <v>2023</v>
      </c>
      <c r="AY1" s="42"/>
      <c r="AZ1" s="41"/>
      <c r="BA1" s="42"/>
      <c r="BB1" s="357"/>
    </row>
    <row r="2" spans="1:56" s="292" customFormat="1" ht="47.25" x14ac:dyDescent="0.25">
      <c r="A2" s="284" t="s">
        <v>614</v>
      </c>
      <c r="B2" s="285" t="s">
        <v>613</v>
      </c>
      <c r="C2" s="286" t="s">
        <v>342</v>
      </c>
      <c r="D2" s="286" t="s">
        <v>343</v>
      </c>
      <c r="E2" s="285" t="s">
        <v>612</v>
      </c>
      <c r="F2" s="286" t="s">
        <v>12</v>
      </c>
      <c r="G2" s="286" t="s">
        <v>792</v>
      </c>
      <c r="H2" s="419" t="s">
        <v>801</v>
      </c>
      <c r="I2" s="286" t="s">
        <v>796</v>
      </c>
      <c r="J2" s="286" t="s">
        <v>780</v>
      </c>
      <c r="K2" s="294" t="s">
        <v>781</v>
      </c>
      <c r="L2" s="286" t="s">
        <v>782</v>
      </c>
      <c r="M2" s="294" t="s">
        <v>783</v>
      </c>
      <c r="N2" s="286" t="s">
        <v>861</v>
      </c>
      <c r="O2" s="287" t="s">
        <v>785</v>
      </c>
      <c r="P2" s="286" t="s">
        <v>620</v>
      </c>
      <c r="Q2" s="286" t="s">
        <v>345</v>
      </c>
      <c r="R2" s="286" t="s">
        <v>346</v>
      </c>
      <c r="S2" s="287" t="s">
        <v>681</v>
      </c>
      <c r="T2" s="287" t="s">
        <v>347</v>
      </c>
      <c r="U2" s="287" t="s">
        <v>644</v>
      </c>
      <c r="V2" s="287" t="s">
        <v>645</v>
      </c>
      <c r="W2" s="287" t="s">
        <v>860</v>
      </c>
      <c r="X2" s="82" t="s">
        <v>802</v>
      </c>
      <c r="Y2" s="288" t="s">
        <v>629</v>
      </c>
      <c r="Z2" s="82" t="s">
        <v>353</v>
      </c>
      <c r="AA2" s="82" t="s">
        <v>354</v>
      </c>
      <c r="AB2" s="82" t="s">
        <v>355</v>
      </c>
      <c r="AC2" s="289" t="s">
        <v>356</v>
      </c>
      <c r="AD2" s="289" t="s">
        <v>357</v>
      </c>
      <c r="AE2" s="82" t="s">
        <v>358</v>
      </c>
      <c r="AF2" s="82" t="s">
        <v>359</v>
      </c>
      <c r="AG2" s="289" t="s">
        <v>360</v>
      </c>
      <c r="AH2" s="82" t="s">
        <v>361</v>
      </c>
      <c r="AI2" s="82" t="s">
        <v>362</v>
      </c>
      <c r="AJ2" s="289" t="s">
        <v>363</v>
      </c>
      <c r="AK2" s="82" t="s">
        <v>364</v>
      </c>
      <c r="AL2" s="82" t="s">
        <v>749</v>
      </c>
      <c r="AM2" s="82" t="s">
        <v>750</v>
      </c>
      <c r="AN2" s="82" t="s">
        <v>751</v>
      </c>
      <c r="AO2" s="82" t="s">
        <v>752</v>
      </c>
      <c r="AP2" s="82" t="s">
        <v>753</v>
      </c>
      <c r="AQ2" s="82" t="s">
        <v>754</v>
      </c>
      <c r="AR2" s="82" t="s">
        <v>755</v>
      </c>
      <c r="AS2" s="82" t="s">
        <v>756</v>
      </c>
      <c r="AT2" s="82" t="s">
        <v>758</v>
      </c>
      <c r="AU2" s="82" t="s">
        <v>757</v>
      </c>
      <c r="AV2" s="82" t="s">
        <v>759</v>
      </c>
      <c r="AW2" s="82" t="s">
        <v>760</v>
      </c>
      <c r="AX2" s="289" t="s">
        <v>628</v>
      </c>
      <c r="AY2" s="290"/>
      <c r="AZ2" s="82" t="s">
        <v>365</v>
      </c>
      <c r="BA2" s="290"/>
      <c r="BB2" s="358" t="s">
        <v>366</v>
      </c>
      <c r="BC2" s="291" t="s">
        <v>547</v>
      </c>
    </row>
    <row r="3" spans="1:56" s="36" customFormat="1" ht="15.75" x14ac:dyDescent="0.25">
      <c r="A3" s="381" t="s">
        <v>27</v>
      </c>
      <c r="B3" s="106"/>
      <c r="C3" s="102" t="s">
        <v>368</v>
      </c>
      <c r="D3" s="102"/>
      <c r="E3" s="106"/>
      <c r="F3" s="102"/>
      <c r="G3" s="102"/>
      <c r="H3" s="420"/>
      <c r="I3" s="102"/>
      <c r="J3" s="102"/>
      <c r="K3" s="276"/>
      <c r="L3" s="276"/>
      <c r="M3" s="276"/>
      <c r="N3" s="276"/>
      <c r="O3" s="84"/>
      <c r="P3" s="102"/>
      <c r="Q3" s="102"/>
      <c r="R3" s="102"/>
      <c r="S3" s="84"/>
      <c r="T3" s="102"/>
      <c r="U3" s="102"/>
      <c r="V3" s="102"/>
      <c r="W3" s="102"/>
      <c r="X3" s="102"/>
      <c r="Y3" s="85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47"/>
      <c r="AZ3" s="103"/>
      <c r="BA3" s="51"/>
      <c r="BB3" s="357"/>
    </row>
    <row r="4" spans="1:56" s="36" customFormat="1" ht="15.75" x14ac:dyDescent="0.25">
      <c r="A4" s="411" t="s">
        <v>284</v>
      </c>
      <c r="B4" s="372" t="s">
        <v>421</v>
      </c>
      <c r="C4" s="339" t="s">
        <v>368</v>
      </c>
      <c r="D4" s="339" t="s">
        <v>402</v>
      </c>
      <c r="E4" s="369" t="s">
        <v>286</v>
      </c>
      <c r="F4" s="339" t="s">
        <v>237</v>
      </c>
      <c r="G4" s="339" t="s">
        <v>370</v>
      </c>
      <c r="H4" s="339" t="s">
        <v>805</v>
      </c>
      <c r="I4" s="339" t="s">
        <v>24</v>
      </c>
      <c r="J4" s="339">
        <v>43867</v>
      </c>
      <c r="K4" s="332">
        <v>43867</v>
      </c>
      <c r="L4" s="339">
        <v>43952</v>
      </c>
      <c r="M4" s="332">
        <v>43952</v>
      </c>
      <c r="N4" s="371">
        <f t="shared" ref="N4:N22" si="0">L4-J4</f>
        <v>85</v>
      </c>
      <c r="O4" s="343">
        <f t="shared" ref="O4:O20" si="1">M4-K4</f>
        <v>85</v>
      </c>
      <c r="P4" s="339" t="s">
        <v>370</v>
      </c>
      <c r="Q4" s="332">
        <v>43983</v>
      </c>
      <c r="R4" s="332">
        <v>44155</v>
      </c>
      <c r="S4" s="371">
        <v>5.7142857142857153</v>
      </c>
      <c r="T4" s="371">
        <f t="shared" ref="T4:T22" si="2">((R4-Q4)/7)/4.3</f>
        <v>5.7142857142857153</v>
      </c>
      <c r="U4" s="371" t="s">
        <v>237</v>
      </c>
      <c r="V4" s="371"/>
      <c r="W4" s="371" t="s">
        <v>370</v>
      </c>
      <c r="X4" s="323">
        <f>660134-54144</f>
        <v>605990</v>
      </c>
      <c r="Y4" s="115">
        <v>568347</v>
      </c>
      <c r="Z4" s="115">
        <v>879</v>
      </c>
      <c r="AA4" s="115">
        <v>35573</v>
      </c>
      <c r="AB4" s="115">
        <v>656</v>
      </c>
      <c r="AC4" s="115">
        <v>0</v>
      </c>
      <c r="AD4" s="115">
        <v>0</v>
      </c>
      <c r="AE4" s="115">
        <v>535</v>
      </c>
      <c r="AF4" s="115">
        <v>0</v>
      </c>
      <c r="AG4" s="115">
        <v>0</v>
      </c>
      <c r="AH4" s="115">
        <v>0</v>
      </c>
      <c r="AI4" s="115">
        <v>0</v>
      </c>
      <c r="AJ4" s="115">
        <v>0</v>
      </c>
      <c r="AK4" s="115">
        <v>0</v>
      </c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47"/>
      <c r="AZ4" s="53">
        <f t="shared" ref="AZ4:AZ22" si="3">SUM(Y4:AY4)</f>
        <v>605990</v>
      </c>
      <c r="BA4" s="51"/>
      <c r="BB4" s="359">
        <f t="shared" ref="BB4:BB23" si="4">AZ4-X4</f>
        <v>0</v>
      </c>
      <c r="BD4" s="55"/>
    </row>
    <row r="5" spans="1:56" s="36" customFormat="1" ht="15.75" x14ac:dyDescent="0.25">
      <c r="A5" s="372" t="s">
        <v>288</v>
      </c>
      <c r="B5" s="372" t="s">
        <v>289</v>
      </c>
      <c r="C5" s="339" t="s">
        <v>368</v>
      </c>
      <c r="D5" s="339" t="s">
        <v>659</v>
      </c>
      <c r="E5" s="369" t="s">
        <v>290</v>
      </c>
      <c r="F5" s="339" t="s">
        <v>237</v>
      </c>
      <c r="G5" s="339" t="s">
        <v>370</v>
      </c>
      <c r="H5" s="339" t="s">
        <v>806</v>
      </c>
      <c r="I5" s="332" t="s">
        <v>370</v>
      </c>
      <c r="J5" s="339">
        <v>43973</v>
      </c>
      <c r="K5" s="332">
        <v>43973</v>
      </c>
      <c r="L5" s="339">
        <v>44006</v>
      </c>
      <c r="M5" s="332">
        <v>44006</v>
      </c>
      <c r="N5" s="371">
        <f t="shared" si="0"/>
        <v>33</v>
      </c>
      <c r="O5" s="343">
        <f t="shared" si="1"/>
        <v>33</v>
      </c>
      <c r="P5" s="339" t="s">
        <v>370</v>
      </c>
      <c r="Q5" s="332">
        <v>44048</v>
      </c>
      <c r="R5" s="332">
        <v>44237</v>
      </c>
      <c r="S5" s="371">
        <v>6.279069767441861</v>
      </c>
      <c r="T5" s="371">
        <f t="shared" si="2"/>
        <v>6.279069767441861</v>
      </c>
      <c r="U5" s="371" t="s">
        <v>237</v>
      </c>
      <c r="V5" s="371"/>
      <c r="W5" s="371" t="s">
        <v>370</v>
      </c>
      <c r="X5" s="323">
        <v>845876</v>
      </c>
      <c r="Y5" s="115">
        <v>628337</v>
      </c>
      <c r="Z5" s="115">
        <v>137155</v>
      </c>
      <c r="AA5" s="177">
        <v>19492</v>
      </c>
      <c r="AB5" s="115">
        <v>60892</v>
      </c>
      <c r="AC5" s="242">
        <v>0</v>
      </c>
      <c r="AD5" s="115">
        <v>0</v>
      </c>
      <c r="AE5" s="115">
        <v>0</v>
      </c>
      <c r="AF5" s="115">
        <v>0</v>
      </c>
      <c r="AG5" s="115">
        <v>0</v>
      </c>
      <c r="AH5" s="115">
        <v>0</v>
      </c>
      <c r="AI5" s="115">
        <v>0</v>
      </c>
      <c r="AJ5" s="115">
        <v>0</v>
      </c>
      <c r="AK5" s="115">
        <v>0</v>
      </c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47"/>
      <c r="AZ5" s="53">
        <f t="shared" si="3"/>
        <v>845876</v>
      </c>
      <c r="BA5" s="51"/>
      <c r="BB5" s="359">
        <f t="shared" si="4"/>
        <v>0</v>
      </c>
      <c r="BD5" s="55"/>
    </row>
    <row r="6" spans="1:56" s="36" customFormat="1" ht="15.75" x14ac:dyDescent="0.25">
      <c r="A6" s="372" t="s">
        <v>292</v>
      </c>
      <c r="B6" s="372" t="s">
        <v>293</v>
      </c>
      <c r="C6" s="339" t="s">
        <v>368</v>
      </c>
      <c r="D6" s="339" t="s">
        <v>659</v>
      </c>
      <c r="E6" s="369" t="s">
        <v>294</v>
      </c>
      <c r="F6" s="339" t="s">
        <v>237</v>
      </c>
      <c r="G6" s="339" t="s">
        <v>370</v>
      </c>
      <c r="H6" s="339" t="s">
        <v>806</v>
      </c>
      <c r="I6" s="332" t="s">
        <v>370</v>
      </c>
      <c r="J6" s="339">
        <v>44041</v>
      </c>
      <c r="K6" s="332">
        <v>44041</v>
      </c>
      <c r="L6" s="339">
        <v>44106</v>
      </c>
      <c r="M6" s="332">
        <v>44106</v>
      </c>
      <c r="N6" s="371">
        <f t="shared" si="0"/>
        <v>65</v>
      </c>
      <c r="O6" s="343">
        <f t="shared" si="1"/>
        <v>65</v>
      </c>
      <c r="P6" s="339" t="s">
        <v>370</v>
      </c>
      <c r="Q6" s="332">
        <v>44102</v>
      </c>
      <c r="R6" s="332">
        <v>44241</v>
      </c>
      <c r="S6" s="371">
        <v>4.6179401993355489</v>
      </c>
      <c r="T6" s="371">
        <f t="shared" si="2"/>
        <v>4.6179401993355489</v>
      </c>
      <c r="U6" s="371" t="s">
        <v>237</v>
      </c>
      <c r="V6" s="371"/>
      <c r="W6" s="371" t="s">
        <v>370</v>
      </c>
      <c r="X6" s="323">
        <v>303150</v>
      </c>
      <c r="Y6" s="115">
        <v>162612</v>
      </c>
      <c r="Z6" s="115">
        <v>95646</v>
      </c>
      <c r="AA6" s="177">
        <v>33342</v>
      </c>
      <c r="AB6" s="115">
        <v>5713</v>
      </c>
      <c r="AC6" s="242">
        <v>5837</v>
      </c>
      <c r="AD6" s="115">
        <v>0</v>
      </c>
      <c r="AE6" s="115">
        <v>0</v>
      </c>
      <c r="AF6" s="115">
        <v>0</v>
      </c>
      <c r="AG6" s="115">
        <v>0</v>
      </c>
      <c r="AH6" s="115">
        <v>0</v>
      </c>
      <c r="AI6" s="115">
        <v>0</v>
      </c>
      <c r="AJ6" s="115">
        <v>0</v>
      </c>
      <c r="AK6" s="115">
        <v>0</v>
      </c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47"/>
      <c r="AZ6" s="53">
        <f t="shared" si="3"/>
        <v>303150</v>
      </c>
      <c r="BA6" s="51"/>
      <c r="BB6" s="359">
        <f t="shared" si="4"/>
        <v>0</v>
      </c>
      <c r="BD6" s="55"/>
    </row>
    <row r="7" spans="1:56" s="36" customFormat="1" ht="15.75" x14ac:dyDescent="0.25">
      <c r="A7" s="411" t="s">
        <v>295</v>
      </c>
      <c r="B7" s="372" t="s">
        <v>296</v>
      </c>
      <c r="C7" s="339" t="s">
        <v>368</v>
      </c>
      <c r="D7" s="339" t="s">
        <v>659</v>
      </c>
      <c r="E7" s="369" t="s">
        <v>616</v>
      </c>
      <c r="F7" s="339" t="s">
        <v>237</v>
      </c>
      <c r="G7" s="339" t="s">
        <v>370</v>
      </c>
      <c r="H7" s="339" t="s">
        <v>806</v>
      </c>
      <c r="I7" s="332" t="s">
        <v>370</v>
      </c>
      <c r="J7" s="339">
        <v>44007</v>
      </c>
      <c r="K7" s="332">
        <v>44007</v>
      </c>
      <c r="L7" s="339">
        <v>44029</v>
      </c>
      <c r="M7" s="332">
        <v>44029</v>
      </c>
      <c r="N7" s="371">
        <f t="shared" si="0"/>
        <v>22</v>
      </c>
      <c r="O7" s="343">
        <f t="shared" si="1"/>
        <v>22</v>
      </c>
      <c r="P7" s="339" t="s">
        <v>370</v>
      </c>
      <c r="Q7" s="332">
        <v>44102</v>
      </c>
      <c r="R7" s="332">
        <v>44237</v>
      </c>
      <c r="S7" s="371">
        <v>4.485049833887043</v>
      </c>
      <c r="T7" s="371">
        <f t="shared" si="2"/>
        <v>4.485049833887043</v>
      </c>
      <c r="U7" s="371" t="s">
        <v>237</v>
      </c>
      <c r="V7" s="371"/>
      <c r="W7" s="371" t="s">
        <v>370</v>
      </c>
      <c r="X7" s="323">
        <v>222517</v>
      </c>
      <c r="Y7" s="115">
        <v>131745</v>
      </c>
      <c r="Z7" s="115">
        <v>62828</v>
      </c>
      <c r="AA7" s="177">
        <v>27944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0</v>
      </c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47"/>
      <c r="AZ7" s="53">
        <f t="shared" si="3"/>
        <v>222517</v>
      </c>
      <c r="BA7" s="51"/>
      <c r="BB7" s="359">
        <f t="shared" si="4"/>
        <v>0</v>
      </c>
      <c r="BD7" s="55"/>
    </row>
    <row r="8" spans="1:56" s="36" customFormat="1" ht="15.75" x14ac:dyDescent="0.25">
      <c r="A8" s="374" t="s">
        <v>486</v>
      </c>
      <c r="B8" s="374" t="s">
        <v>601</v>
      </c>
      <c r="C8" s="87" t="s">
        <v>368</v>
      </c>
      <c r="D8" s="52" t="s">
        <v>401</v>
      </c>
      <c r="E8" s="34" t="s">
        <v>705</v>
      </c>
      <c r="F8" s="52" t="s">
        <v>46</v>
      </c>
      <c r="G8" s="52" t="s">
        <v>370</v>
      </c>
      <c r="H8" s="298" t="s">
        <v>807</v>
      </c>
      <c r="I8" s="330" t="s">
        <v>370</v>
      </c>
      <c r="J8" s="52">
        <v>44508</v>
      </c>
      <c r="K8" s="329">
        <v>44508</v>
      </c>
      <c r="L8" s="298">
        <v>44539</v>
      </c>
      <c r="M8" s="329">
        <v>44539</v>
      </c>
      <c r="N8" s="301">
        <f t="shared" si="0"/>
        <v>31</v>
      </c>
      <c r="O8" s="333">
        <f t="shared" si="1"/>
        <v>31</v>
      </c>
      <c r="P8" s="52" t="s">
        <v>370</v>
      </c>
      <c r="Q8" s="377">
        <v>44544</v>
      </c>
      <c r="R8" s="87">
        <f>Q8+(3*4.3*7)</f>
        <v>44634.3</v>
      </c>
      <c r="S8" s="50">
        <v>3.0000000000000968</v>
      </c>
      <c r="T8" s="50">
        <f t="shared" si="2"/>
        <v>3.0000000000000968</v>
      </c>
      <c r="U8" s="50"/>
      <c r="V8" s="50"/>
      <c r="W8" s="50" t="s">
        <v>370</v>
      </c>
      <c r="X8" s="182">
        <v>250338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12582.01</v>
      </c>
      <c r="AJ8" s="115">
        <v>0</v>
      </c>
      <c r="AK8" s="115">
        <v>83333.960000000006</v>
      </c>
      <c r="AL8" s="275">
        <v>25000</v>
      </c>
      <c r="AM8" s="275">
        <v>50000</v>
      </c>
      <c r="AN8" s="275">
        <v>50000</v>
      </c>
      <c r="AO8" s="275">
        <v>50000</v>
      </c>
      <c r="AP8" s="275">
        <v>25000</v>
      </c>
      <c r="AQ8" s="275">
        <v>12755.99</v>
      </c>
      <c r="AR8" s="58"/>
      <c r="AS8" s="58"/>
      <c r="AT8" s="58"/>
      <c r="AU8" s="58"/>
      <c r="AV8" s="58"/>
      <c r="AW8" s="58"/>
      <c r="AX8" s="53"/>
      <c r="AY8" s="47"/>
      <c r="AZ8" s="53">
        <f t="shared" si="3"/>
        <v>308671.95999999996</v>
      </c>
      <c r="BA8" s="51"/>
      <c r="BB8" s="359">
        <f t="shared" si="4"/>
        <v>58333.959999999963</v>
      </c>
      <c r="BD8" s="55"/>
    </row>
    <row r="9" spans="1:56" s="36" customFormat="1" ht="15.75" x14ac:dyDescent="0.25">
      <c r="A9" s="374" t="s">
        <v>679</v>
      </c>
      <c r="B9" s="374" t="s">
        <v>600</v>
      </c>
      <c r="C9" s="87" t="s">
        <v>368</v>
      </c>
      <c r="D9" s="52" t="s">
        <v>401</v>
      </c>
      <c r="E9" s="34" t="s">
        <v>706</v>
      </c>
      <c r="F9" s="52" t="s">
        <v>623</v>
      </c>
      <c r="G9" s="52" t="s">
        <v>320</v>
      </c>
      <c r="H9" s="298" t="s">
        <v>807</v>
      </c>
      <c r="I9" s="330" t="s">
        <v>370</v>
      </c>
      <c r="J9" s="52">
        <v>44536</v>
      </c>
      <c r="K9" s="330">
        <v>44536</v>
      </c>
      <c r="L9" s="299">
        <v>44575</v>
      </c>
      <c r="M9" s="87">
        <v>44575</v>
      </c>
      <c r="N9" s="301">
        <f t="shared" si="0"/>
        <v>39</v>
      </c>
      <c r="O9" s="50">
        <f t="shared" si="1"/>
        <v>39</v>
      </c>
      <c r="P9" s="52" t="s">
        <v>320</v>
      </c>
      <c r="Q9" s="376">
        <v>44575</v>
      </c>
      <c r="R9" s="52">
        <v>44682</v>
      </c>
      <c r="S9" s="50">
        <v>3.5548172757475087</v>
      </c>
      <c r="T9" s="50">
        <f t="shared" si="2"/>
        <v>3.5548172757475087</v>
      </c>
      <c r="U9" s="50"/>
      <c r="V9" s="50"/>
      <c r="W9" s="50" t="s">
        <v>370</v>
      </c>
      <c r="X9" s="182">
        <v>402660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34445.589999999997</v>
      </c>
      <c r="AJ9" s="115">
        <v>0</v>
      </c>
      <c r="AK9" s="115">
        <v>0</v>
      </c>
      <c r="AL9" s="275">
        <v>50000</v>
      </c>
      <c r="AM9" s="275">
        <v>75000</v>
      </c>
      <c r="AN9" s="275">
        <v>75000</v>
      </c>
      <c r="AO9" s="275">
        <v>75000</v>
      </c>
      <c r="AP9" s="275">
        <v>50000</v>
      </c>
      <c r="AQ9" s="275">
        <v>18214.41</v>
      </c>
      <c r="AR9" s="58"/>
      <c r="AS9" s="58"/>
      <c r="AT9" s="58"/>
      <c r="AU9" s="58"/>
      <c r="AV9" s="58"/>
      <c r="AW9" s="58"/>
      <c r="AX9" s="53"/>
      <c r="AY9" s="47"/>
      <c r="AZ9" s="53">
        <f t="shared" si="3"/>
        <v>377659.99999999994</v>
      </c>
      <c r="BA9" s="51"/>
      <c r="BB9" s="359">
        <f t="shared" si="4"/>
        <v>-25000.000000000058</v>
      </c>
      <c r="BD9" s="55"/>
    </row>
    <row r="10" spans="1:56" s="36" customFormat="1" ht="15.75" x14ac:dyDescent="0.25">
      <c r="A10" s="34" t="s">
        <v>166</v>
      </c>
      <c r="B10" s="34" t="s">
        <v>168</v>
      </c>
      <c r="C10" s="298" t="s">
        <v>368</v>
      </c>
      <c r="D10" s="298" t="s">
        <v>402</v>
      </c>
      <c r="E10" s="300" t="s">
        <v>169</v>
      </c>
      <c r="F10" s="298" t="s">
        <v>46</v>
      </c>
      <c r="G10" s="298" t="s">
        <v>370</v>
      </c>
      <c r="H10" s="298" t="s">
        <v>808</v>
      </c>
      <c r="I10" s="329" t="s">
        <v>370</v>
      </c>
      <c r="J10" s="298">
        <v>44243</v>
      </c>
      <c r="K10" s="329">
        <v>44243</v>
      </c>
      <c r="L10" s="298">
        <v>44302</v>
      </c>
      <c r="M10" s="329">
        <v>44302</v>
      </c>
      <c r="N10" s="301">
        <f t="shared" si="0"/>
        <v>59</v>
      </c>
      <c r="O10" s="346">
        <f t="shared" si="1"/>
        <v>59</v>
      </c>
      <c r="P10" s="52" t="s">
        <v>370</v>
      </c>
      <c r="Q10" s="329">
        <v>44319</v>
      </c>
      <c r="R10" s="298">
        <v>44571</v>
      </c>
      <c r="S10" s="301">
        <v>8.3720930232558146</v>
      </c>
      <c r="T10" s="301">
        <f t="shared" si="2"/>
        <v>8.3720930232558146</v>
      </c>
      <c r="U10" s="301"/>
      <c r="V10" s="301"/>
      <c r="W10" s="50" t="s">
        <v>370</v>
      </c>
      <c r="X10" s="181">
        <v>1181870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154842</v>
      </c>
      <c r="AE10" s="115">
        <v>139424</v>
      </c>
      <c r="AF10" s="115">
        <v>0</v>
      </c>
      <c r="AG10" s="115">
        <v>383465</v>
      </c>
      <c r="AH10" s="115">
        <v>27725.91</v>
      </c>
      <c r="AI10" s="115">
        <v>0</v>
      </c>
      <c r="AJ10" s="115">
        <v>157207.63999999998</v>
      </c>
      <c r="AK10" s="115">
        <v>150659.49</v>
      </c>
      <c r="AL10" s="58">
        <v>119205.45</v>
      </c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3"/>
      <c r="AY10" s="47"/>
      <c r="AZ10" s="53">
        <f t="shared" si="3"/>
        <v>1132529.49</v>
      </c>
      <c r="BA10" s="51"/>
      <c r="BB10" s="359">
        <f t="shared" si="4"/>
        <v>-49340.510000000009</v>
      </c>
      <c r="BC10" s="36" t="s">
        <v>748</v>
      </c>
    </row>
    <row r="11" spans="1:56" s="36" customFormat="1" ht="15.75" x14ac:dyDescent="0.25">
      <c r="A11" s="366" t="s">
        <v>23</v>
      </c>
      <c r="B11" s="367" t="s">
        <v>25</v>
      </c>
      <c r="C11" s="339" t="s">
        <v>368</v>
      </c>
      <c r="D11" s="339" t="s">
        <v>659</v>
      </c>
      <c r="E11" s="370" t="s">
        <v>26</v>
      </c>
      <c r="F11" s="339" t="s">
        <v>237</v>
      </c>
      <c r="G11" s="339" t="s">
        <v>370</v>
      </c>
      <c r="H11" s="421" t="s">
        <v>29</v>
      </c>
      <c r="I11" s="332" t="s">
        <v>370</v>
      </c>
      <c r="J11" s="408">
        <v>44046</v>
      </c>
      <c r="K11" s="368">
        <v>44046</v>
      </c>
      <c r="L11" s="408">
        <v>44162</v>
      </c>
      <c r="M11" s="368">
        <v>44162</v>
      </c>
      <c r="N11" s="371">
        <f t="shared" si="0"/>
        <v>116</v>
      </c>
      <c r="O11" s="343">
        <f t="shared" si="1"/>
        <v>116</v>
      </c>
      <c r="P11" s="321" t="s">
        <v>370</v>
      </c>
      <c r="Q11" s="332">
        <v>44144</v>
      </c>
      <c r="R11" s="332">
        <v>44407</v>
      </c>
      <c r="S11" s="322">
        <v>8.7375415282392019</v>
      </c>
      <c r="T11" s="322">
        <f t="shared" si="2"/>
        <v>8.7375415282392019</v>
      </c>
      <c r="U11" s="322" t="s">
        <v>237</v>
      </c>
      <c r="V11" s="322"/>
      <c r="W11" s="322" t="s">
        <v>370</v>
      </c>
      <c r="X11" s="323">
        <v>1307434</v>
      </c>
      <c r="Y11" s="115">
        <v>244435</v>
      </c>
      <c r="Z11" s="115">
        <v>181308</v>
      </c>
      <c r="AA11" s="115">
        <v>16313</v>
      </c>
      <c r="AB11" s="115">
        <v>286477</v>
      </c>
      <c r="AC11" s="242">
        <v>175065</v>
      </c>
      <c r="AD11" s="115">
        <v>254689</v>
      </c>
      <c r="AE11" s="115">
        <v>149147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47"/>
      <c r="AZ11" s="53">
        <f t="shared" si="3"/>
        <v>1307434</v>
      </c>
      <c r="BA11" s="51"/>
      <c r="BB11" s="359">
        <f t="shared" si="4"/>
        <v>0</v>
      </c>
    </row>
    <row r="12" spans="1:56" s="36" customFormat="1" ht="15.75" x14ac:dyDescent="0.25">
      <c r="A12" s="366" t="s">
        <v>31</v>
      </c>
      <c r="B12" s="367" t="s">
        <v>745</v>
      </c>
      <c r="C12" s="339" t="s">
        <v>368</v>
      </c>
      <c r="D12" s="339" t="s">
        <v>659</v>
      </c>
      <c r="E12" s="370" t="s">
        <v>617</v>
      </c>
      <c r="F12" s="339" t="s">
        <v>237</v>
      </c>
      <c r="G12" s="339" t="s">
        <v>370</v>
      </c>
      <c r="H12" s="421" t="s">
        <v>29</v>
      </c>
      <c r="I12" s="332" t="s">
        <v>370</v>
      </c>
      <c r="J12" s="408">
        <v>44049</v>
      </c>
      <c r="K12" s="368">
        <v>44049</v>
      </c>
      <c r="L12" s="408">
        <v>44163</v>
      </c>
      <c r="M12" s="368">
        <v>44163</v>
      </c>
      <c r="N12" s="371">
        <f t="shared" si="0"/>
        <v>114</v>
      </c>
      <c r="O12" s="343">
        <f t="shared" si="1"/>
        <v>114</v>
      </c>
      <c r="P12" s="321" t="s">
        <v>370</v>
      </c>
      <c r="Q12" s="332">
        <v>44144</v>
      </c>
      <c r="R12" s="332">
        <v>44418</v>
      </c>
      <c r="S12" s="322">
        <v>9.1029900332225928</v>
      </c>
      <c r="T12" s="322">
        <f t="shared" si="2"/>
        <v>9.1029900332225928</v>
      </c>
      <c r="U12" s="322" t="s">
        <v>237</v>
      </c>
      <c r="V12" s="322"/>
      <c r="W12" s="322" t="s">
        <v>370</v>
      </c>
      <c r="X12" s="323">
        <v>278383</v>
      </c>
      <c r="Y12" s="115">
        <v>46929</v>
      </c>
      <c r="Z12" s="115">
        <v>38525</v>
      </c>
      <c r="AA12" s="115">
        <v>0</v>
      </c>
      <c r="AB12" s="115">
        <v>45735</v>
      </c>
      <c r="AC12" s="242">
        <v>40858</v>
      </c>
      <c r="AD12" s="115">
        <f>6750+26297</f>
        <v>33047</v>
      </c>
      <c r="AE12" s="115">
        <v>43566</v>
      </c>
      <c r="AF12" s="115">
        <v>18912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47"/>
      <c r="AZ12" s="53">
        <f t="shared" si="3"/>
        <v>267572</v>
      </c>
      <c r="BA12" s="51"/>
      <c r="BB12" s="359">
        <f t="shared" si="4"/>
        <v>-10811</v>
      </c>
    </row>
    <row r="13" spans="1:56" s="36" customFormat="1" ht="15.75" x14ac:dyDescent="0.25">
      <c r="A13" s="413" t="s">
        <v>33</v>
      </c>
      <c r="B13" s="415" t="s">
        <v>746</v>
      </c>
      <c r="C13" s="339" t="s">
        <v>368</v>
      </c>
      <c r="D13" s="339" t="s">
        <v>659</v>
      </c>
      <c r="E13" s="416" t="s">
        <v>618</v>
      </c>
      <c r="F13" s="339" t="s">
        <v>237</v>
      </c>
      <c r="G13" s="339" t="s">
        <v>370</v>
      </c>
      <c r="H13" s="421" t="s">
        <v>29</v>
      </c>
      <c r="I13" s="332" t="s">
        <v>370</v>
      </c>
      <c r="J13" s="408">
        <v>44054</v>
      </c>
      <c r="K13" s="368">
        <v>44054</v>
      </c>
      <c r="L13" s="408">
        <v>44163</v>
      </c>
      <c r="M13" s="368">
        <v>44163</v>
      </c>
      <c r="N13" s="371">
        <f t="shared" si="0"/>
        <v>109</v>
      </c>
      <c r="O13" s="343">
        <f t="shared" si="1"/>
        <v>109</v>
      </c>
      <c r="P13" s="339" t="s">
        <v>370</v>
      </c>
      <c r="Q13" s="332">
        <v>44144</v>
      </c>
      <c r="R13" s="332">
        <v>44410</v>
      </c>
      <c r="S13" s="322">
        <v>8.8372093023255811</v>
      </c>
      <c r="T13" s="322">
        <f t="shared" si="2"/>
        <v>8.8372093023255811</v>
      </c>
      <c r="U13" s="322" t="s">
        <v>237</v>
      </c>
      <c r="V13" s="322"/>
      <c r="W13" s="322" t="s">
        <v>370</v>
      </c>
      <c r="X13" s="323">
        <v>231276</v>
      </c>
      <c r="Y13" s="115">
        <v>34010</v>
      </c>
      <c r="Z13" s="115">
        <v>31345</v>
      </c>
      <c r="AA13" s="115">
        <v>0</v>
      </c>
      <c r="AB13" s="115">
        <v>42608</v>
      </c>
      <c r="AC13" s="242">
        <v>27037</v>
      </c>
      <c r="AD13" s="115">
        <f>9333+19266</f>
        <v>28599</v>
      </c>
      <c r="AE13" s="115">
        <v>46383</v>
      </c>
      <c r="AF13" s="115">
        <f>6580+13609</f>
        <v>20189</v>
      </c>
      <c r="AG13" s="115">
        <v>1105</v>
      </c>
      <c r="AH13" s="115">
        <v>0</v>
      </c>
      <c r="AI13" s="115">
        <v>0</v>
      </c>
      <c r="AJ13" s="115">
        <v>0</v>
      </c>
      <c r="AK13" s="115">
        <v>0</v>
      </c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47"/>
      <c r="AZ13" s="53">
        <f t="shared" si="3"/>
        <v>231276</v>
      </c>
      <c r="BA13" s="51"/>
      <c r="BB13" s="359">
        <f t="shared" si="4"/>
        <v>0</v>
      </c>
    </row>
    <row r="14" spans="1:56" s="36" customFormat="1" ht="15.75" x14ac:dyDescent="0.25">
      <c r="A14" s="366" t="s">
        <v>35</v>
      </c>
      <c r="B14" s="366" t="s">
        <v>36</v>
      </c>
      <c r="C14" s="402" t="s">
        <v>368</v>
      </c>
      <c r="D14" s="321" t="s">
        <v>401</v>
      </c>
      <c r="E14" s="405" t="s">
        <v>37</v>
      </c>
      <c r="F14" s="339" t="s">
        <v>237</v>
      </c>
      <c r="G14" s="339" t="s">
        <v>370</v>
      </c>
      <c r="H14" s="402" t="s">
        <v>39</v>
      </c>
      <c r="I14" s="332" t="s">
        <v>370</v>
      </c>
      <c r="J14" s="339">
        <v>44098</v>
      </c>
      <c r="K14" s="332">
        <v>44098</v>
      </c>
      <c r="L14" s="339">
        <v>44166</v>
      </c>
      <c r="M14" s="332">
        <v>44166</v>
      </c>
      <c r="N14" s="371">
        <f t="shared" si="0"/>
        <v>68</v>
      </c>
      <c r="O14" s="343">
        <f t="shared" si="1"/>
        <v>68</v>
      </c>
      <c r="P14" s="339" t="s">
        <v>370</v>
      </c>
      <c r="Q14" s="332">
        <v>44241</v>
      </c>
      <c r="R14" s="332">
        <v>44412</v>
      </c>
      <c r="S14" s="322">
        <v>5.6810631229235877</v>
      </c>
      <c r="T14" s="322">
        <f t="shared" si="2"/>
        <v>5.6810631229235877</v>
      </c>
      <c r="U14" s="322" t="s">
        <v>237</v>
      </c>
      <c r="V14" s="322"/>
      <c r="W14" s="322" t="s">
        <v>370</v>
      </c>
      <c r="X14" s="323">
        <v>984546</v>
      </c>
      <c r="Y14" s="115">
        <v>230830</v>
      </c>
      <c r="Z14" s="115">
        <v>155142</v>
      </c>
      <c r="AA14" s="115">
        <v>20934</v>
      </c>
      <c r="AB14" s="115">
        <v>247073</v>
      </c>
      <c r="AC14" s="242">
        <v>88548</v>
      </c>
      <c r="AD14" s="115">
        <f>14953+98288</f>
        <v>113241</v>
      </c>
      <c r="AE14" s="115">
        <v>61708</v>
      </c>
      <c r="AF14" s="115">
        <v>67070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47"/>
      <c r="AZ14" s="53">
        <f t="shared" si="3"/>
        <v>984546</v>
      </c>
      <c r="BA14" s="51"/>
      <c r="BB14" s="359">
        <f t="shared" si="4"/>
        <v>0</v>
      </c>
    </row>
    <row r="15" spans="1:56" s="36" customFormat="1" ht="15.75" x14ac:dyDescent="0.25">
      <c r="A15" s="60" t="s">
        <v>170</v>
      </c>
      <c r="B15" s="61" t="s">
        <v>621</v>
      </c>
      <c r="C15" s="52" t="s">
        <v>368</v>
      </c>
      <c r="D15" s="52" t="s">
        <v>402</v>
      </c>
      <c r="E15" s="401" t="s">
        <v>172</v>
      </c>
      <c r="F15" s="52" t="s">
        <v>46</v>
      </c>
      <c r="G15" s="52" t="s">
        <v>370</v>
      </c>
      <c r="H15" s="423" t="s">
        <v>173</v>
      </c>
      <c r="I15" s="330" t="s">
        <v>370</v>
      </c>
      <c r="J15" s="298">
        <v>44201</v>
      </c>
      <c r="K15" s="329">
        <v>44201</v>
      </c>
      <c r="L15" s="298">
        <v>44302</v>
      </c>
      <c r="M15" s="329">
        <v>44302</v>
      </c>
      <c r="N15" s="301">
        <f t="shared" si="0"/>
        <v>101</v>
      </c>
      <c r="O15" s="346">
        <f t="shared" si="1"/>
        <v>101</v>
      </c>
      <c r="P15" s="299" t="s">
        <v>370</v>
      </c>
      <c r="Q15" s="329">
        <v>44415</v>
      </c>
      <c r="R15" s="298">
        <v>44571</v>
      </c>
      <c r="S15" s="50">
        <v>5.1827242524916945</v>
      </c>
      <c r="T15" s="50">
        <f t="shared" si="2"/>
        <v>5.1827242524916945</v>
      </c>
      <c r="U15" s="50"/>
      <c r="V15" s="50"/>
      <c r="W15" s="50" t="s">
        <v>370</v>
      </c>
      <c r="X15" s="182">
        <v>1051400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f>111250</f>
        <v>111250</v>
      </c>
      <c r="AF15" s="115">
        <v>14446</v>
      </c>
      <c r="AG15" s="115">
        <v>326666</v>
      </c>
      <c r="AH15" s="115">
        <v>140279.28999999998</v>
      </c>
      <c r="AI15" s="115">
        <v>169323.90000000002</v>
      </c>
      <c r="AJ15" s="115">
        <v>144372.98000000001</v>
      </c>
      <c r="AK15" s="115">
        <v>80695.31</v>
      </c>
      <c r="AL15" s="275">
        <v>55061.83</v>
      </c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3"/>
      <c r="AY15" s="47"/>
      <c r="AZ15" s="53">
        <f t="shared" si="3"/>
        <v>1042095.3099999999</v>
      </c>
      <c r="BA15" s="51"/>
      <c r="BB15" s="359">
        <f t="shared" si="4"/>
        <v>-9304.6900000000605</v>
      </c>
      <c r="BD15" s="55"/>
    </row>
    <row r="16" spans="1:56" s="36" customFormat="1" ht="15.75" x14ac:dyDescent="0.25">
      <c r="A16" s="369" t="s">
        <v>41</v>
      </c>
      <c r="B16" s="370" t="s">
        <v>42</v>
      </c>
      <c r="C16" s="339" t="s">
        <v>368</v>
      </c>
      <c r="D16" s="339" t="s">
        <v>402</v>
      </c>
      <c r="E16" s="370" t="s">
        <v>43</v>
      </c>
      <c r="F16" s="339" t="s">
        <v>237</v>
      </c>
      <c r="G16" s="339" t="s">
        <v>370</v>
      </c>
      <c r="H16" s="421" t="s">
        <v>809</v>
      </c>
      <c r="I16" s="332" t="s">
        <v>370</v>
      </c>
      <c r="J16" s="339">
        <v>44225</v>
      </c>
      <c r="K16" s="332">
        <v>44225</v>
      </c>
      <c r="L16" s="339">
        <f>J16+35</f>
        <v>44260</v>
      </c>
      <c r="M16" s="332">
        <f>K16+35</f>
        <v>44260</v>
      </c>
      <c r="N16" s="371">
        <f t="shared" si="0"/>
        <v>35</v>
      </c>
      <c r="O16" s="343">
        <f t="shared" si="1"/>
        <v>35</v>
      </c>
      <c r="P16" s="339" t="s">
        <v>370</v>
      </c>
      <c r="Q16" s="332">
        <v>44256</v>
      </c>
      <c r="R16" s="332">
        <v>44393</v>
      </c>
      <c r="S16" s="371">
        <v>4.5514950166112964</v>
      </c>
      <c r="T16" s="371">
        <f t="shared" si="2"/>
        <v>4.5514950166112964</v>
      </c>
      <c r="U16" s="371" t="s">
        <v>237</v>
      </c>
      <c r="V16" s="371"/>
      <c r="W16" s="371" t="s">
        <v>370</v>
      </c>
      <c r="X16" s="323">
        <f>723063-1</f>
        <v>723062</v>
      </c>
      <c r="Y16" s="115">
        <v>0</v>
      </c>
      <c r="Z16" s="115">
        <v>0</v>
      </c>
      <c r="AA16" s="115">
        <v>0</v>
      </c>
      <c r="AB16" s="115">
        <v>79004</v>
      </c>
      <c r="AC16" s="242">
        <v>201430</v>
      </c>
      <c r="AD16" s="115">
        <f>30182+141103</f>
        <v>171285</v>
      </c>
      <c r="AE16" s="115">
        <v>187324</v>
      </c>
      <c r="AF16" s="115">
        <v>84019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47"/>
      <c r="AZ16" s="53">
        <f t="shared" si="3"/>
        <v>723062</v>
      </c>
      <c r="BA16" s="51"/>
      <c r="BB16" s="359">
        <f t="shared" si="4"/>
        <v>0</v>
      </c>
      <c r="BD16" s="55"/>
    </row>
    <row r="17" spans="1:56" s="36" customFormat="1" ht="15.75" x14ac:dyDescent="0.25">
      <c r="A17" s="113" t="s">
        <v>174</v>
      </c>
      <c r="B17" s="114" t="s">
        <v>175</v>
      </c>
      <c r="C17" s="299" t="s">
        <v>368</v>
      </c>
      <c r="D17" s="299" t="s">
        <v>402</v>
      </c>
      <c r="E17" s="417" t="s">
        <v>172</v>
      </c>
      <c r="F17" s="299" t="s">
        <v>46</v>
      </c>
      <c r="G17" s="299" t="s">
        <v>370</v>
      </c>
      <c r="H17" s="424" t="s">
        <v>808</v>
      </c>
      <c r="I17" s="330" t="s">
        <v>370</v>
      </c>
      <c r="J17" s="298">
        <v>44362</v>
      </c>
      <c r="K17" s="329">
        <v>44362</v>
      </c>
      <c r="L17" s="298">
        <v>44418</v>
      </c>
      <c r="M17" s="329">
        <v>44418</v>
      </c>
      <c r="N17" s="301">
        <f t="shared" si="0"/>
        <v>56</v>
      </c>
      <c r="O17" s="346">
        <f t="shared" si="1"/>
        <v>56</v>
      </c>
      <c r="P17" s="52" t="s">
        <v>370</v>
      </c>
      <c r="Q17" s="329">
        <v>44382</v>
      </c>
      <c r="R17" s="298">
        <v>44589</v>
      </c>
      <c r="S17" s="50">
        <v>6.8770764119601333</v>
      </c>
      <c r="T17" s="50">
        <f t="shared" si="2"/>
        <v>6.8770764119601333</v>
      </c>
      <c r="U17" s="50"/>
      <c r="V17" s="50"/>
      <c r="W17" s="50" t="s">
        <v>370</v>
      </c>
      <c r="X17" s="182">
        <v>1367414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99756</v>
      </c>
      <c r="AH17" s="115">
        <v>330951.22000000003</v>
      </c>
      <c r="AI17" s="115">
        <v>217391.16</v>
      </c>
      <c r="AJ17" s="115">
        <v>176608.81</v>
      </c>
      <c r="AK17" s="115">
        <v>39511.949999999997</v>
      </c>
      <c r="AL17" s="275">
        <v>200000</v>
      </c>
      <c r="AM17" s="275">
        <v>92706.81</v>
      </c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3"/>
      <c r="AY17" s="47"/>
      <c r="AZ17" s="53">
        <f t="shared" si="3"/>
        <v>1156925.95</v>
      </c>
      <c r="BA17" s="51"/>
      <c r="BB17" s="359">
        <f t="shared" si="4"/>
        <v>-210488.05000000005</v>
      </c>
      <c r="BD17" s="55"/>
    </row>
    <row r="18" spans="1:56" s="36" customFormat="1" ht="15.75" x14ac:dyDescent="0.25">
      <c r="A18" s="111" t="s">
        <v>176</v>
      </c>
      <c r="B18" s="112" t="s">
        <v>177</v>
      </c>
      <c r="C18" s="52" t="s">
        <v>368</v>
      </c>
      <c r="D18" s="299" t="s">
        <v>402</v>
      </c>
      <c r="E18" s="112" t="s">
        <v>642</v>
      </c>
      <c r="F18" s="299" t="s">
        <v>46</v>
      </c>
      <c r="G18" s="299" t="s">
        <v>370</v>
      </c>
      <c r="H18" s="424" t="s">
        <v>808</v>
      </c>
      <c r="I18" s="330" t="s">
        <v>370</v>
      </c>
      <c r="J18" s="299">
        <v>44367</v>
      </c>
      <c r="K18" s="330">
        <v>44367</v>
      </c>
      <c r="L18" s="299">
        <v>44533</v>
      </c>
      <c r="M18" s="329">
        <v>44533</v>
      </c>
      <c r="N18" s="301">
        <f t="shared" si="0"/>
        <v>166</v>
      </c>
      <c r="O18" s="333">
        <f t="shared" si="1"/>
        <v>166</v>
      </c>
      <c r="P18" s="52" t="s">
        <v>370</v>
      </c>
      <c r="Q18" s="329">
        <v>44517</v>
      </c>
      <c r="R18" s="87">
        <f>Q18+(3*4.3*7)</f>
        <v>44607.3</v>
      </c>
      <c r="S18" s="50">
        <v>3.0000000000000968</v>
      </c>
      <c r="T18" s="50">
        <f t="shared" si="2"/>
        <v>3.0000000000000968</v>
      </c>
      <c r="U18" s="50"/>
      <c r="V18" s="50"/>
      <c r="W18" s="50" t="s">
        <v>370</v>
      </c>
      <c r="X18" s="182">
        <v>266165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139535.13999999998</v>
      </c>
      <c r="AL18" s="275">
        <v>180000</v>
      </c>
      <c r="AM18" s="275">
        <v>50000</v>
      </c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3"/>
      <c r="AY18" s="47"/>
      <c r="AZ18" s="53">
        <f t="shared" si="3"/>
        <v>369535.14</v>
      </c>
      <c r="BA18" s="51"/>
      <c r="BB18" s="359">
        <f t="shared" si="4"/>
        <v>103370.14000000001</v>
      </c>
      <c r="BD18" s="55"/>
    </row>
    <row r="19" spans="1:56" s="36" customFormat="1" ht="15.75" x14ac:dyDescent="0.25">
      <c r="A19" s="336" t="s">
        <v>47</v>
      </c>
      <c r="B19" s="337" t="s">
        <v>48</v>
      </c>
      <c r="C19" s="321" t="s">
        <v>368</v>
      </c>
      <c r="D19" s="321" t="s">
        <v>401</v>
      </c>
      <c r="E19" s="337" t="s">
        <v>646</v>
      </c>
      <c r="F19" s="321" t="s">
        <v>237</v>
      </c>
      <c r="G19" s="321" t="s">
        <v>370</v>
      </c>
      <c r="H19" s="425" t="s">
        <v>805</v>
      </c>
      <c r="I19" s="332" t="s">
        <v>370</v>
      </c>
      <c r="J19" s="321"/>
      <c r="K19" s="368">
        <v>44166</v>
      </c>
      <c r="L19" s="368"/>
      <c r="M19" s="368">
        <v>44186</v>
      </c>
      <c r="N19" s="371">
        <f t="shared" si="0"/>
        <v>0</v>
      </c>
      <c r="O19" s="343">
        <f t="shared" si="1"/>
        <v>20</v>
      </c>
      <c r="P19" s="339" t="s">
        <v>370</v>
      </c>
      <c r="Q19" s="368">
        <v>44228</v>
      </c>
      <c r="R19" s="332">
        <v>44286</v>
      </c>
      <c r="S19" s="322">
        <v>1.9269102990033224</v>
      </c>
      <c r="T19" s="322">
        <f t="shared" si="2"/>
        <v>1.9269102990033224</v>
      </c>
      <c r="U19" s="322" t="s">
        <v>237</v>
      </c>
      <c r="V19" s="322"/>
      <c r="W19" s="322" t="s">
        <v>370</v>
      </c>
      <c r="X19" s="323">
        <v>81500</v>
      </c>
      <c r="Y19" s="115">
        <v>0</v>
      </c>
      <c r="Z19" s="115">
        <v>0</v>
      </c>
      <c r="AA19" s="115">
        <v>0</v>
      </c>
      <c r="AB19" s="115">
        <v>81500</v>
      </c>
      <c r="AC19" s="242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58">
        <v>0</v>
      </c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47"/>
      <c r="AZ19" s="53">
        <f t="shared" si="3"/>
        <v>81500</v>
      </c>
      <c r="BA19" s="51"/>
      <c r="BB19" s="359">
        <f t="shared" si="4"/>
        <v>0</v>
      </c>
      <c r="BD19" s="55"/>
    </row>
    <row r="20" spans="1:56" s="36" customFormat="1" ht="15.75" x14ac:dyDescent="0.25">
      <c r="A20" s="113" t="s">
        <v>485</v>
      </c>
      <c r="B20" s="114" t="s">
        <v>599</v>
      </c>
      <c r="C20" s="87" t="s">
        <v>368</v>
      </c>
      <c r="D20" s="52" t="s">
        <v>401</v>
      </c>
      <c r="E20" s="34" t="s">
        <v>707</v>
      </c>
      <c r="F20" s="52" t="s">
        <v>46</v>
      </c>
      <c r="G20" s="52" t="s">
        <v>370</v>
      </c>
      <c r="H20" s="52" t="s">
        <v>807</v>
      </c>
      <c r="I20" s="330" t="s">
        <v>370</v>
      </c>
      <c r="J20" s="52">
        <v>44391</v>
      </c>
      <c r="K20" s="330">
        <v>44391</v>
      </c>
      <c r="L20" s="299">
        <v>44456</v>
      </c>
      <c r="M20" s="329">
        <v>44456</v>
      </c>
      <c r="N20" s="301">
        <f t="shared" si="0"/>
        <v>65</v>
      </c>
      <c r="O20" s="333">
        <f t="shared" si="1"/>
        <v>65</v>
      </c>
      <c r="P20" s="52" t="s">
        <v>370</v>
      </c>
      <c r="Q20" s="329">
        <v>44501</v>
      </c>
      <c r="R20" s="52">
        <v>44652</v>
      </c>
      <c r="S20" s="50">
        <v>5.0166112956810638</v>
      </c>
      <c r="T20" s="50">
        <f t="shared" si="2"/>
        <v>5.0166112956810638</v>
      </c>
      <c r="U20" s="50"/>
      <c r="V20" s="50"/>
      <c r="W20" s="50" t="s">
        <v>370</v>
      </c>
      <c r="X20" s="182">
        <v>1180416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192936.95</v>
      </c>
      <c r="AJ20" s="115">
        <v>0</v>
      </c>
      <c r="AK20" s="115">
        <v>295412.45999999996</v>
      </c>
      <c r="AL20" s="275">
        <v>150000</v>
      </c>
      <c r="AM20" s="275">
        <v>175000</v>
      </c>
      <c r="AN20" s="275">
        <v>175000</v>
      </c>
      <c r="AO20" s="275">
        <v>200000</v>
      </c>
      <c r="AP20" s="275">
        <v>100000</v>
      </c>
      <c r="AQ20" s="275">
        <v>37479.050000000003</v>
      </c>
      <c r="AR20" s="58"/>
      <c r="AS20" s="58"/>
      <c r="AT20" s="58"/>
      <c r="AU20" s="58"/>
      <c r="AV20" s="58"/>
      <c r="AW20" s="58"/>
      <c r="AX20" s="53"/>
      <c r="AY20" s="47"/>
      <c r="AZ20" s="53">
        <f t="shared" si="3"/>
        <v>1325828.46</v>
      </c>
      <c r="BA20" s="51"/>
      <c r="BB20" s="359">
        <f t="shared" si="4"/>
        <v>145412.45999999996</v>
      </c>
      <c r="BD20" s="55"/>
    </row>
    <row r="21" spans="1:56" s="36" customFormat="1" ht="15.75" x14ac:dyDescent="0.25">
      <c r="A21" s="386" t="s">
        <v>868</v>
      </c>
      <c r="B21" s="393" t="s">
        <v>869</v>
      </c>
      <c r="C21" s="52" t="s">
        <v>368</v>
      </c>
      <c r="D21" s="52" t="s">
        <v>402</v>
      </c>
      <c r="E21" s="112" t="s">
        <v>643</v>
      </c>
      <c r="F21" s="52" t="s">
        <v>46</v>
      </c>
      <c r="G21" s="330">
        <v>44560</v>
      </c>
      <c r="H21" s="423" t="s">
        <v>810</v>
      </c>
      <c r="I21" s="330" t="s">
        <v>370</v>
      </c>
      <c r="J21" s="87">
        <v>44512</v>
      </c>
      <c r="K21" s="329">
        <v>44512</v>
      </c>
      <c r="L21" s="298">
        <v>44567</v>
      </c>
      <c r="M21" s="330">
        <v>44560</v>
      </c>
      <c r="N21" s="301">
        <f t="shared" si="0"/>
        <v>55</v>
      </c>
      <c r="O21" s="333">
        <f>M21-K21</f>
        <v>48</v>
      </c>
      <c r="P21" s="52" t="s">
        <v>370</v>
      </c>
      <c r="Q21" s="377">
        <v>44572</v>
      </c>
      <c r="R21" s="52">
        <f>Q21+(7*7*4.3)</f>
        <v>44782.7</v>
      </c>
      <c r="S21" s="50">
        <v>6.9999999999999041</v>
      </c>
      <c r="T21" s="50">
        <f t="shared" si="2"/>
        <v>6.9999999999999041</v>
      </c>
      <c r="U21" s="50"/>
      <c r="V21" s="50"/>
      <c r="W21" s="50" t="s">
        <v>370</v>
      </c>
      <c r="X21" s="53">
        <v>1900000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86613.87</v>
      </c>
      <c r="AL21" s="275">
        <v>200000</v>
      </c>
      <c r="AM21" s="275">
        <v>225000</v>
      </c>
      <c r="AN21" s="275">
        <v>225000</v>
      </c>
      <c r="AO21" s="275">
        <v>250000</v>
      </c>
      <c r="AP21" s="275">
        <v>200000</v>
      </c>
      <c r="AQ21" s="275">
        <v>200000</v>
      </c>
      <c r="AR21" s="275">
        <v>200000</v>
      </c>
      <c r="AS21" s="275">
        <v>200000</v>
      </c>
      <c r="AT21" s="275">
        <v>200000</v>
      </c>
      <c r="AU21" s="58"/>
      <c r="AV21" s="58"/>
      <c r="AW21" s="58"/>
      <c r="AX21" s="53"/>
      <c r="AY21" s="47"/>
      <c r="AZ21" s="53">
        <f t="shared" si="3"/>
        <v>1986613.87</v>
      </c>
      <c r="BA21" s="51"/>
      <c r="BB21" s="359">
        <f t="shared" si="4"/>
        <v>86613.870000000112</v>
      </c>
    </row>
    <row r="22" spans="1:56" s="36" customFormat="1" ht="15.75" x14ac:dyDescent="0.25">
      <c r="A22" s="179" t="s">
        <v>224</v>
      </c>
      <c r="B22" s="180" t="s">
        <v>680</v>
      </c>
      <c r="C22" s="87" t="s">
        <v>664</v>
      </c>
      <c r="D22" s="52" t="s">
        <v>665</v>
      </c>
      <c r="E22" s="63" t="s">
        <v>689</v>
      </c>
      <c r="F22" s="52" t="s">
        <v>46</v>
      </c>
      <c r="G22" s="52" t="s">
        <v>370</v>
      </c>
      <c r="H22" s="426" t="s">
        <v>474</v>
      </c>
      <c r="I22" s="330" t="s">
        <v>370</v>
      </c>
      <c r="J22" s="87">
        <v>44365</v>
      </c>
      <c r="K22" s="330">
        <v>44365</v>
      </c>
      <c r="L22" s="299">
        <v>44489</v>
      </c>
      <c r="M22" s="329">
        <v>44489</v>
      </c>
      <c r="N22" s="301">
        <f t="shared" si="0"/>
        <v>124</v>
      </c>
      <c r="O22" s="333">
        <f>M22-K22</f>
        <v>124</v>
      </c>
      <c r="P22" s="52" t="s">
        <v>370</v>
      </c>
      <c r="Q22" s="329">
        <f>M22+15</f>
        <v>44504</v>
      </c>
      <c r="R22" s="52">
        <v>44651</v>
      </c>
      <c r="S22" s="88">
        <v>4.8837209302325579</v>
      </c>
      <c r="T22" s="88">
        <f t="shared" si="2"/>
        <v>4.8837209302325579</v>
      </c>
      <c r="U22" s="88"/>
      <c r="V22" s="88"/>
      <c r="W22" s="88" t="s">
        <v>370</v>
      </c>
      <c r="X22" s="53">
        <v>2015533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141412</v>
      </c>
      <c r="AH22" s="115">
        <v>0</v>
      </c>
      <c r="AI22" s="115">
        <v>0</v>
      </c>
      <c r="AJ22" s="115">
        <v>146485.79999999999</v>
      </c>
      <c r="AK22" s="115">
        <v>239324.07</v>
      </c>
      <c r="AL22" s="275">
        <v>300000</v>
      </c>
      <c r="AM22" s="275">
        <v>300000</v>
      </c>
      <c r="AN22" s="275">
        <v>300000</v>
      </c>
      <c r="AO22" s="275">
        <v>300000</v>
      </c>
      <c r="AP22" s="275">
        <v>227635.20000000001</v>
      </c>
      <c r="AQ22" s="58"/>
      <c r="AR22" s="58"/>
      <c r="AS22" s="58"/>
      <c r="AT22" s="58"/>
      <c r="AU22" s="58"/>
      <c r="AV22" s="58"/>
      <c r="AW22" s="58"/>
      <c r="AX22" s="53"/>
      <c r="AY22" s="47"/>
      <c r="AZ22" s="53">
        <f t="shared" si="3"/>
        <v>1954857.07</v>
      </c>
      <c r="BA22" s="51"/>
      <c r="BB22" s="359">
        <f t="shared" si="4"/>
        <v>-60675.929999999935</v>
      </c>
      <c r="BD22" s="55"/>
    </row>
    <row r="23" spans="1:56" s="452" customFormat="1" ht="15.75" x14ac:dyDescent="0.25">
      <c r="A23" s="444"/>
      <c r="B23" s="454"/>
      <c r="C23" s="455"/>
      <c r="D23" s="445"/>
      <c r="E23" s="454"/>
      <c r="F23" s="445"/>
      <c r="G23" s="445"/>
      <c r="H23" s="455"/>
      <c r="I23" s="445"/>
      <c r="J23" s="445"/>
      <c r="K23" s="445"/>
      <c r="L23" s="445"/>
      <c r="M23" s="445"/>
      <c r="N23" s="445"/>
      <c r="O23" s="447"/>
      <c r="P23" s="445"/>
      <c r="Q23" s="445"/>
      <c r="R23" s="445"/>
      <c r="S23" s="447"/>
      <c r="T23" s="445"/>
      <c r="U23" s="447"/>
      <c r="V23" s="447"/>
      <c r="W23" s="447"/>
      <c r="X23" s="448">
        <f t="shared" ref="X23:AJ23" si="5">SUBTOTAL(9,X4:X22)</f>
        <v>15199530</v>
      </c>
      <c r="Y23" s="448">
        <f t="shared" si="5"/>
        <v>2047245</v>
      </c>
      <c r="Z23" s="448">
        <f t="shared" si="5"/>
        <v>702828</v>
      </c>
      <c r="AA23" s="448">
        <f t="shared" si="5"/>
        <v>153598</v>
      </c>
      <c r="AB23" s="448">
        <f t="shared" si="5"/>
        <v>849658</v>
      </c>
      <c r="AC23" s="448">
        <f t="shared" si="5"/>
        <v>538775</v>
      </c>
      <c r="AD23" s="448">
        <f t="shared" si="5"/>
        <v>755703</v>
      </c>
      <c r="AE23" s="448">
        <f t="shared" si="5"/>
        <v>739337</v>
      </c>
      <c r="AF23" s="448">
        <f t="shared" si="5"/>
        <v>204636</v>
      </c>
      <c r="AG23" s="448">
        <f t="shared" si="5"/>
        <v>952404</v>
      </c>
      <c r="AH23" s="448">
        <f t="shared" si="5"/>
        <v>498956.42000000004</v>
      </c>
      <c r="AI23" s="448">
        <f t="shared" si="5"/>
        <v>626679.6100000001</v>
      </c>
      <c r="AJ23" s="448">
        <f t="shared" si="5"/>
        <v>624675.23</v>
      </c>
      <c r="AK23" s="448">
        <f>SUBTOTAL(9,AK4:AK22)</f>
        <v>1115086.25</v>
      </c>
      <c r="AL23" s="448">
        <f t="shared" ref="AL23:AZ23" si="6">SUBTOTAL(9,AL4:AL22)</f>
        <v>1279267.28</v>
      </c>
      <c r="AM23" s="448">
        <f t="shared" si="6"/>
        <v>967706.81</v>
      </c>
      <c r="AN23" s="448">
        <f t="shared" si="6"/>
        <v>825000</v>
      </c>
      <c r="AO23" s="448">
        <f t="shared" si="6"/>
        <v>875000</v>
      </c>
      <c r="AP23" s="448">
        <f t="shared" si="6"/>
        <v>602635.19999999995</v>
      </c>
      <c r="AQ23" s="448">
        <f t="shared" si="6"/>
        <v>268449.45</v>
      </c>
      <c r="AR23" s="448">
        <f t="shared" si="6"/>
        <v>200000</v>
      </c>
      <c r="AS23" s="448">
        <f t="shared" si="6"/>
        <v>200000</v>
      </c>
      <c r="AT23" s="448">
        <f t="shared" si="6"/>
        <v>200000</v>
      </c>
      <c r="AU23" s="448">
        <f t="shared" si="6"/>
        <v>0</v>
      </c>
      <c r="AV23" s="448">
        <f t="shared" si="6"/>
        <v>0</v>
      </c>
      <c r="AW23" s="448">
        <f t="shared" si="6"/>
        <v>0</v>
      </c>
      <c r="AX23" s="448">
        <f t="shared" si="6"/>
        <v>0</v>
      </c>
      <c r="AY23" s="449"/>
      <c r="AZ23" s="448">
        <f t="shared" si="6"/>
        <v>15227640.25</v>
      </c>
      <c r="BA23" s="450"/>
      <c r="BB23" s="451">
        <f t="shared" si="4"/>
        <v>28110.25</v>
      </c>
      <c r="BC23" s="453"/>
    </row>
    <row r="24" spans="1:56" s="36" customFormat="1" ht="15.75" x14ac:dyDescent="0.25">
      <c r="A24" s="381" t="s">
        <v>119</v>
      </c>
      <c r="B24" s="106"/>
      <c r="C24" s="102" t="s">
        <v>387</v>
      </c>
      <c r="D24" s="102"/>
      <c r="E24" s="106"/>
      <c r="F24" s="102"/>
      <c r="G24" s="102"/>
      <c r="H24" s="420"/>
      <c r="I24" s="102"/>
      <c r="J24" s="102"/>
      <c r="K24" s="276"/>
      <c r="L24" s="276"/>
      <c r="M24" s="276"/>
      <c r="N24" s="276"/>
      <c r="O24" s="84"/>
      <c r="P24" s="102"/>
      <c r="Q24" s="102"/>
      <c r="R24" s="102"/>
      <c r="S24" s="84"/>
      <c r="T24" s="102"/>
      <c r="U24" s="84"/>
      <c r="V24" s="84"/>
      <c r="W24" s="84"/>
      <c r="X24" s="193"/>
      <c r="Y24" s="85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47"/>
      <c r="AZ24" s="103"/>
      <c r="BA24" s="51"/>
      <c r="BB24" s="359"/>
      <c r="BD24" s="55"/>
    </row>
    <row r="25" spans="1:56" s="36" customFormat="1" ht="15.75" x14ac:dyDescent="0.25">
      <c r="A25" s="413" t="s">
        <v>116</v>
      </c>
      <c r="B25" s="415" t="s">
        <v>117</v>
      </c>
      <c r="C25" s="321" t="s">
        <v>387</v>
      </c>
      <c r="D25" s="321" t="s">
        <v>402</v>
      </c>
      <c r="E25" s="415" t="s">
        <v>624</v>
      </c>
      <c r="F25" s="321" t="s">
        <v>237</v>
      </c>
      <c r="G25" s="321" t="s">
        <v>370</v>
      </c>
      <c r="H25" s="427" t="s">
        <v>120</v>
      </c>
      <c r="I25" s="332" t="s">
        <v>370</v>
      </c>
      <c r="J25" s="321">
        <v>44317</v>
      </c>
      <c r="K25" s="332">
        <v>44317</v>
      </c>
      <c r="L25" s="339">
        <v>44378</v>
      </c>
      <c r="M25" s="332">
        <v>44378</v>
      </c>
      <c r="N25" s="371">
        <f t="shared" ref="N25:O27" si="7">L25-J25</f>
        <v>61</v>
      </c>
      <c r="O25" s="343">
        <f t="shared" si="7"/>
        <v>61</v>
      </c>
      <c r="P25" s="321" t="s">
        <v>370</v>
      </c>
      <c r="Q25" s="332">
        <v>44075</v>
      </c>
      <c r="R25" s="332">
        <v>44286</v>
      </c>
      <c r="S25" s="343">
        <v>7</v>
      </c>
      <c r="T25" s="322">
        <f>((R25-Q25)/7)/4.3</f>
        <v>7.0099667774086383</v>
      </c>
      <c r="U25" s="322" t="s">
        <v>237</v>
      </c>
      <c r="V25" s="322"/>
      <c r="W25" s="322" t="s">
        <v>370</v>
      </c>
      <c r="X25" s="323">
        <v>940687</v>
      </c>
      <c r="Y25" s="115">
        <v>720455</v>
      </c>
      <c r="Z25" s="115">
        <v>114649</v>
      </c>
      <c r="AA25" s="115">
        <v>0</v>
      </c>
      <c r="AB25" s="115">
        <v>105583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>
        <v>0</v>
      </c>
      <c r="AY25" s="47"/>
      <c r="AZ25" s="53">
        <f>SUM(Y25:AY25)</f>
        <v>940687</v>
      </c>
      <c r="BA25" s="51"/>
      <c r="BB25" s="359">
        <f>AZ25-X25</f>
        <v>0</v>
      </c>
    </row>
    <row r="26" spans="1:56" s="36" customFormat="1" ht="15.75" x14ac:dyDescent="0.25">
      <c r="A26" s="366" t="s">
        <v>121</v>
      </c>
      <c r="B26" s="366" t="s">
        <v>122</v>
      </c>
      <c r="C26" s="321" t="s">
        <v>387</v>
      </c>
      <c r="D26" s="321" t="s">
        <v>402</v>
      </c>
      <c r="E26" s="366" t="s">
        <v>123</v>
      </c>
      <c r="F26" s="321" t="s">
        <v>237</v>
      </c>
      <c r="G26" s="321" t="s">
        <v>370</v>
      </c>
      <c r="H26" s="427" t="s">
        <v>120</v>
      </c>
      <c r="I26" s="332" t="s">
        <v>370</v>
      </c>
      <c r="J26" s="321">
        <v>44317</v>
      </c>
      <c r="K26" s="332">
        <v>44317</v>
      </c>
      <c r="L26" s="339">
        <v>44378</v>
      </c>
      <c r="M26" s="332">
        <v>44378</v>
      </c>
      <c r="N26" s="371">
        <f t="shared" si="7"/>
        <v>61</v>
      </c>
      <c r="O26" s="343">
        <f t="shared" si="7"/>
        <v>61</v>
      </c>
      <c r="P26" s="321" t="s">
        <v>370</v>
      </c>
      <c r="Q26" s="332">
        <v>44136</v>
      </c>
      <c r="R26" s="332">
        <v>44286</v>
      </c>
      <c r="S26" s="343">
        <v>5</v>
      </c>
      <c r="T26" s="322">
        <f>((R26-Q26)/7)/4.3</f>
        <v>4.9833887043189371</v>
      </c>
      <c r="U26" s="322" t="s">
        <v>237</v>
      </c>
      <c r="V26" s="322"/>
      <c r="W26" s="322" t="s">
        <v>370</v>
      </c>
      <c r="X26" s="323">
        <v>226188</v>
      </c>
      <c r="Y26" s="115">
        <v>64622</v>
      </c>
      <c r="Z26" s="115">
        <v>39562</v>
      </c>
      <c r="AA26" s="115">
        <v>18328</v>
      </c>
      <c r="AB26" s="115">
        <v>101052</v>
      </c>
      <c r="AC26" s="115">
        <v>2624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>
        <v>0</v>
      </c>
      <c r="AY26" s="47"/>
      <c r="AZ26" s="53">
        <f>SUM(Y26:AY26)</f>
        <v>226188</v>
      </c>
      <c r="BA26" s="51"/>
      <c r="BB26" s="359">
        <f>AZ26-X26</f>
        <v>0</v>
      </c>
    </row>
    <row r="27" spans="1:56" s="36" customFormat="1" ht="15.75" x14ac:dyDescent="0.25">
      <c r="A27" s="366" t="s">
        <v>124</v>
      </c>
      <c r="B27" s="366" t="s">
        <v>125</v>
      </c>
      <c r="C27" s="402" t="s">
        <v>387</v>
      </c>
      <c r="D27" s="321" t="s">
        <v>402</v>
      </c>
      <c r="E27" s="418" t="s">
        <v>126</v>
      </c>
      <c r="F27" s="321" t="s">
        <v>237</v>
      </c>
      <c r="G27" s="321" t="s">
        <v>370</v>
      </c>
      <c r="H27" s="427" t="s">
        <v>120</v>
      </c>
      <c r="I27" s="332" t="s">
        <v>370</v>
      </c>
      <c r="J27" s="321">
        <v>44317</v>
      </c>
      <c r="K27" s="332">
        <v>44317</v>
      </c>
      <c r="L27" s="339">
        <v>44378</v>
      </c>
      <c r="M27" s="332">
        <v>44378</v>
      </c>
      <c r="N27" s="371">
        <f t="shared" si="7"/>
        <v>61</v>
      </c>
      <c r="O27" s="343">
        <f t="shared" si="7"/>
        <v>61</v>
      </c>
      <c r="P27" s="321" t="s">
        <v>370</v>
      </c>
      <c r="Q27" s="332">
        <v>44136</v>
      </c>
      <c r="R27" s="332">
        <v>44286</v>
      </c>
      <c r="S27" s="343">
        <v>5</v>
      </c>
      <c r="T27" s="322">
        <f>((R27-Q27)/7)/4.3</f>
        <v>4.9833887043189371</v>
      </c>
      <c r="U27" s="322" t="s">
        <v>237</v>
      </c>
      <c r="V27" s="322"/>
      <c r="W27" s="322" t="s">
        <v>370</v>
      </c>
      <c r="X27" s="323">
        <v>315962</v>
      </c>
      <c r="Y27" s="115">
        <v>124791</v>
      </c>
      <c r="Z27" s="115">
        <v>64927</v>
      </c>
      <c r="AA27" s="115">
        <v>25844</v>
      </c>
      <c r="AB27" s="115">
        <v>98461</v>
      </c>
      <c r="AC27" s="115">
        <v>1939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>
        <v>0</v>
      </c>
      <c r="AY27" s="47"/>
      <c r="AZ27" s="53">
        <f>SUM(Y27:AY27)</f>
        <v>315962</v>
      </c>
      <c r="BA27" s="51"/>
      <c r="BB27" s="359">
        <f>AZ27-X27</f>
        <v>0</v>
      </c>
    </row>
    <row r="28" spans="1:56" s="36" customFormat="1" ht="15.75" x14ac:dyDescent="0.25">
      <c r="A28" s="385"/>
      <c r="B28" s="392"/>
      <c r="C28" s="91"/>
      <c r="D28" s="91"/>
      <c r="E28" s="385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91"/>
      <c r="Q28" s="91"/>
      <c r="R28" s="91"/>
      <c r="S28" s="92"/>
      <c r="T28" s="92"/>
      <c r="U28" s="92"/>
      <c r="V28" s="92"/>
      <c r="W28" s="92"/>
      <c r="X28" s="59">
        <f t="shared" ref="X28:AX28" si="8">SUBTOTAL(9,X25:X27)</f>
        <v>1482837</v>
      </c>
      <c r="Y28" s="59">
        <f t="shared" si="8"/>
        <v>909868</v>
      </c>
      <c r="Z28" s="59">
        <f t="shared" si="8"/>
        <v>219138</v>
      </c>
      <c r="AA28" s="59">
        <f t="shared" si="8"/>
        <v>44172</v>
      </c>
      <c r="AB28" s="59">
        <f t="shared" si="8"/>
        <v>305096</v>
      </c>
      <c r="AC28" s="59">
        <f t="shared" si="8"/>
        <v>4563</v>
      </c>
      <c r="AD28" s="59">
        <f t="shared" si="8"/>
        <v>0</v>
      </c>
      <c r="AE28" s="59">
        <f t="shared" si="8"/>
        <v>0</v>
      </c>
      <c r="AF28" s="59">
        <f t="shared" si="8"/>
        <v>0</v>
      </c>
      <c r="AG28" s="59">
        <f t="shared" si="8"/>
        <v>0</v>
      </c>
      <c r="AH28" s="59">
        <f t="shared" si="8"/>
        <v>0</v>
      </c>
      <c r="AI28" s="59">
        <f t="shared" si="8"/>
        <v>0</v>
      </c>
      <c r="AJ28" s="59">
        <f t="shared" si="8"/>
        <v>0</v>
      </c>
      <c r="AK28" s="59">
        <f t="shared" si="8"/>
        <v>0</v>
      </c>
      <c r="AL28" s="59">
        <f t="shared" si="8"/>
        <v>0</v>
      </c>
      <c r="AM28" s="59">
        <f t="shared" si="8"/>
        <v>0</v>
      </c>
      <c r="AN28" s="59">
        <f t="shared" si="8"/>
        <v>0</v>
      </c>
      <c r="AO28" s="59">
        <f t="shared" si="8"/>
        <v>0</v>
      </c>
      <c r="AP28" s="59">
        <f t="shared" si="8"/>
        <v>0</v>
      </c>
      <c r="AQ28" s="59">
        <f t="shared" si="8"/>
        <v>0</v>
      </c>
      <c r="AR28" s="59">
        <f t="shared" si="8"/>
        <v>0</v>
      </c>
      <c r="AS28" s="59">
        <f t="shared" si="8"/>
        <v>0</v>
      </c>
      <c r="AT28" s="59">
        <f t="shared" si="8"/>
        <v>0</v>
      </c>
      <c r="AU28" s="59">
        <f t="shared" si="8"/>
        <v>0</v>
      </c>
      <c r="AV28" s="59">
        <f t="shared" si="8"/>
        <v>0</v>
      </c>
      <c r="AW28" s="59">
        <f t="shared" si="8"/>
        <v>0</v>
      </c>
      <c r="AX28" s="59">
        <f t="shared" si="8"/>
        <v>0</v>
      </c>
      <c r="AY28" s="47"/>
      <c r="AZ28" s="59">
        <f>SUBTOTAL(9,AZ25:AZ27)</f>
        <v>1482837</v>
      </c>
      <c r="BA28" s="51"/>
      <c r="BB28" s="359">
        <f>AZ28-X28</f>
        <v>0</v>
      </c>
      <c r="BD28" s="55"/>
    </row>
    <row r="29" spans="1:56" s="36" customFormat="1" ht="15.75" x14ac:dyDescent="0.25">
      <c r="A29" s="381" t="s">
        <v>379</v>
      </c>
      <c r="B29" s="381"/>
      <c r="C29" s="102" t="s">
        <v>380</v>
      </c>
      <c r="D29" s="102"/>
      <c r="E29" s="381"/>
      <c r="F29" s="102"/>
      <c r="G29" s="102"/>
      <c r="H29" s="102"/>
      <c r="I29" s="102"/>
      <c r="J29" s="102"/>
      <c r="K29" s="276"/>
      <c r="L29" s="276"/>
      <c r="M29" s="276"/>
      <c r="N29" s="276"/>
      <c r="O29" s="84"/>
      <c r="P29" s="102"/>
      <c r="Q29" s="102"/>
      <c r="R29" s="102"/>
      <c r="S29" s="84"/>
      <c r="T29" s="102"/>
      <c r="U29" s="102"/>
      <c r="V29" s="102"/>
      <c r="W29" s="102"/>
      <c r="X29" s="102"/>
      <c r="Y29" s="85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47"/>
      <c r="AZ29" s="103"/>
      <c r="BA29" s="51"/>
      <c r="BB29" s="359"/>
      <c r="BD29" s="55"/>
    </row>
    <row r="30" spans="1:56" s="36" customFormat="1" ht="15.75" x14ac:dyDescent="0.25">
      <c r="A30" s="319" t="s">
        <v>546</v>
      </c>
      <c r="B30" s="319" t="s">
        <v>610</v>
      </c>
      <c r="C30" s="321" t="s">
        <v>380</v>
      </c>
      <c r="D30" s="321" t="s">
        <v>575</v>
      </c>
      <c r="E30" s="320" t="s">
        <v>682</v>
      </c>
      <c r="F30" s="321" t="s">
        <v>237</v>
      </c>
      <c r="G30" s="321" t="s">
        <v>370</v>
      </c>
      <c r="H30" s="428" t="s">
        <v>811</v>
      </c>
      <c r="I30" s="332" t="s">
        <v>370</v>
      </c>
      <c r="J30" s="321" t="s">
        <v>24</v>
      </c>
      <c r="K30" s="332" t="s">
        <v>24</v>
      </c>
      <c r="L30" s="332" t="s">
        <v>24</v>
      </c>
      <c r="M30" s="332" t="s">
        <v>24</v>
      </c>
      <c r="N30" s="339" t="s">
        <v>24</v>
      </c>
      <c r="O30" s="343" t="s">
        <v>24</v>
      </c>
      <c r="P30" s="332" t="s">
        <v>24</v>
      </c>
      <c r="Q30" s="332">
        <v>44330</v>
      </c>
      <c r="R30" s="332">
        <v>44391</v>
      </c>
      <c r="S30" s="322">
        <v>2</v>
      </c>
      <c r="T30" s="322">
        <f t="shared" ref="T30:T37" si="9">((R30-Q30)/7)/4.3</f>
        <v>2.0265780730897007</v>
      </c>
      <c r="U30" s="322"/>
      <c r="V30" s="322"/>
      <c r="W30" s="322" t="s">
        <v>370</v>
      </c>
      <c r="X30" s="323">
        <v>46806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46806</v>
      </c>
      <c r="AH30" s="115">
        <v>0</v>
      </c>
      <c r="AI30" s="115">
        <v>0</v>
      </c>
      <c r="AJ30" s="115">
        <v>0</v>
      </c>
      <c r="AK30" s="115">
        <v>0</v>
      </c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47"/>
      <c r="AZ30" s="53">
        <f t="shared" ref="AZ30:AZ39" si="10">SUM(Y30:AY30)</f>
        <v>46806</v>
      </c>
      <c r="BA30" s="51"/>
      <c r="BB30" s="359">
        <f t="shared" ref="BB30:BB40" si="11">AZ30-X30</f>
        <v>0</v>
      </c>
      <c r="BD30" s="55"/>
    </row>
    <row r="31" spans="1:56" s="36" customFormat="1" ht="15.75" x14ac:dyDescent="0.25">
      <c r="A31" s="60" t="s">
        <v>495</v>
      </c>
      <c r="B31" s="61" t="s">
        <v>712</v>
      </c>
      <c r="C31" s="52" t="s">
        <v>380</v>
      </c>
      <c r="D31" s="52" t="s">
        <v>575</v>
      </c>
      <c r="E31" s="61" t="s">
        <v>264</v>
      </c>
      <c r="F31" s="52" t="s">
        <v>46</v>
      </c>
      <c r="G31" s="52" t="s">
        <v>370</v>
      </c>
      <c r="H31" s="423" t="s">
        <v>265</v>
      </c>
      <c r="I31" s="330" t="s">
        <v>370</v>
      </c>
      <c r="J31" s="52">
        <v>44348</v>
      </c>
      <c r="K31" s="330">
        <v>44348</v>
      </c>
      <c r="L31" s="299">
        <v>44362</v>
      </c>
      <c r="M31" s="330">
        <v>44362</v>
      </c>
      <c r="N31" s="344">
        <f t="shared" ref="N31:O37" si="12">L31-J31</f>
        <v>14</v>
      </c>
      <c r="O31" s="333">
        <f t="shared" si="12"/>
        <v>14</v>
      </c>
      <c r="P31" s="52" t="s">
        <v>370</v>
      </c>
      <c r="Q31" s="330">
        <v>44344</v>
      </c>
      <c r="R31" s="52">
        <v>44497</v>
      </c>
      <c r="S31" s="50">
        <v>5</v>
      </c>
      <c r="T31" s="50">
        <f t="shared" si="9"/>
        <v>5.0830564784053163</v>
      </c>
      <c r="U31" s="50"/>
      <c r="V31" s="50"/>
      <c r="W31" s="50" t="s">
        <v>370</v>
      </c>
      <c r="X31" s="182">
        <v>89125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58100</v>
      </c>
      <c r="AH31" s="115">
        <v>0</v>
      </c>
      <c r="AI31" s="115">
        <v>0</v>
      </c>
      <c r="AJ31" s="115">
        <v>0</v>
      </c>
      <c r="AK31" s="115">
        <v>0</v>
      </c>
      <c r="AL31" s="275">
        <v>31025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3"/>
      <c r="AY31" s="47"/>
      <c r="AZ31" s="53">
        <f t="shared" si="10"/>
        <v>89125</v>
      </c>
      <c r="BA31" s="51"/>
      <c r="BB31" s="359">
        <f t="shared" si="11"/>
        <v>0</v>
      </c>
    </row>
    <row r="32" spans="1:56" s="36" customFormat="1" ht="15.75" x14ac:dyDescent="0.25">
      <c r="A32" s="336" t="s">
        <v>551</v>
      </c>
      <c r="B32" s="337" t="s">
        <v>713</v>
      </c>
      <c r="C32" s="321" t="s">
        <v>380</v>
      </c>
      <c r="D32" s="321" t="s">
        <v>575</v>
      </c>
      <c r="E32" s="337" t="s">
        <v>625</v>
      </c>
      <c r="F32" s="321" t="s">
        <v>237</v>
      </c>
      <c r="G32" s="321" t="s">
        <v>370</v>
      </c>
      <c r="H32" s="425" t="s">
        <v>265</v>
      </c>
      <c r="I32" s="332" t="s">
        <v>370</v>
      </c>
      <c r="J32" s="321">
        <v>44348</v>
      </c>
      <c r="K32" s="332">
        <v>44348</v>
      </c>
      <c r="L32" s="339">
        <v>44362</v>
      </c>
      <c r="M32" s="332">
        <v>44362</v>
      </c>
      <c r="N32" s="371">
        <f t="shared" si="12"/>
        <v>14</v>
      </c>
      <c r="O32" s="343">
        <f t="shared" si="12"/>
        <v>14</v>
      </c>
      <c r="P32" s="321" t="s">
        <v>370</v>
      </c>
      <c r="Q32" s="332">
        <v>44353</v>
      </c>
      <c r="R32" s="332">
        <v>44442</v>
      </c>
      <c r="S32" s="322">
        <v>3</v>
      </c>
      <c r="T32" s="322">
        <f t="shared" si="9"/>
        <v>2.9568106312292359</v>
      </c>
      <c r="U32" s="322"/>
      <c r="V32" s="322"/>
      <c r="W32" s="322" t="s">
        <v>370</v>
      </c>
      <c r="X32" s="323">
        <v>75650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75650</v>
      </c>
      <c r="AH32" s="115">
        <v>0</v>
      </c>
      <c r="AI32" s="115">
        <v>0</v>
      </c>
      <c r="AJ32" s="115">
        <v>0</v>
      </c>
      <c r="AK32" s="115">
        <v>0</v>
      </c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3"/>
      <c r="AY32" s="47"/>
      <c r="AZ32" s="53">
        <f t="shared" si="10"/>
        <v>75650</v>
      </c>
      <c r="BA32" s="51"/>
      <c r="BB32" s="359">
        <f t="shared" si="11"/>
        <v>0</v>
      </c>
    </row>
    <row r="33" spans="1:56" s="36" customFormat="1" ht="15.75" x14ac:dyDescent="0.25">
      <c r="A33" s="60" t="s">
        <v>65</v>
      </c>
      <c r="B33" s="112" t="s">
        <v>531</v>
      </c>
      <c r="C33" s="52" t="s">
        <v>380</v>
      </c>
      <c r="D33" s="52" t="s">
        <v>575</v>
      </c>
      <c r="E33" s="61" t="s">
        <v>67</v>
      </c>
      <c r="F33" s="52" t="s">
        <v>46</v>
      </c>
      <c r="G33" s="52" t="s">
        <v>370</v>
      </c>
      <c r="H33" s="423" t="s">
        <v>812</v>
      </c>
      <c r="I33" s="330" t="s">
        <v>370</v>
      </c>
      <c r="J33" s="52">
        <v>43929</v>
      </c>
      <c r="K33" s="329">
        <v>43929</v>
      </c>
      <c r="L33" s="298">
        <v>44004</v>
      </c>
      <c r="M33" s="329">
        <v>44004</v>
      </c>
      <c r="N33" s="344">
        <f t="shared" si="12"/>
        <v>75</v>
      </c>
      <c r="O33" s="333">
        <f t="shared" si="12"/>
        <v>75</v>
      </c>
      <c r="P33" s="321" t="s">
        <v>370</v>
      </c>
      <c r="Q33" s="330">
        <v>44004</v>
      </c>
      <c r="R33" s="87">
        <v>44469</v>
      </c>
      <c r="S33" s="88">
        <v>15</v>
      </c>
      <c r="T33" s="50">
        <f t="shared" si="9"/>
        <v>15.448504983388705</v>
      </c>
      <c r="U33" s="50"/>
      <c r="V33" s="50"/>
      <c r="W33" s="50" t="s">
        <v>370</v>
      </c>
      <c r="X33" s="182">
        <f>2471535+10495</f>
        <v>2482030</v>
      </c>
      <c r="Y33" s="115">
        <v>1788494</v>
      </c>
      <c r="Z33" s="115">
        <v>93223</v>
      </c>
      <c r="AA33" s="115">
        <v>-90886</v>
      </c>
      <c r="AB33" s="115">
        <v>247214</v>
      </c>
      <c r="AC33" s="115">
        <f>164452+38564</f>
        <v>203016</v>
      </c>
      <c r="AD33" s="115">
        <v>0</v>
      </c>
      <c r="AE33" s="115">
        <v>88152</v>
      </c>
      <c r="AF33" s="115">
        <f>20348+132469</f>
        <v>152817</v>
      </c>
      <c r="AG33" s="115">
        <v>0</v>
      </c>
      <c r="AH33" s="115">
        <v>0</v>
      </c>
      <c r="AI33" s="115">
        <v>0</v>
      </c>
      <c r="AJ33" s="115">
        <v>0</v>
      </c>
      <c r="AK33" s="115">
        <v>0</v>
      </c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47"/>
      <c r="AZ33" s="53">
        <f t="shared" si="10"/>
        <v>2482030</v>
      </c>
      <c r="BA33" s="51"/>
      <c r="BB33" s="359">
        <f t="shared" si="11"/>
        <v>0</v>
      </c>
    </row>
    <row r="34" spans="1:56" s="36" customFormat="1" ht="15.75" x14ac:dyDescent="0.25">
      <c r="A34" s="34" t="s">
        <v>383</v>
      </c>
      <c r="B34" s="35" t="s">
        <v>384</v>
      </c>
      <c r="C34" s="52" t="s">
        <v>380</v>
      </c>
      <c r="D34" s="52" t="s">
        <v>575</v>
      </c>
      <c r="E34" s="401" t="s">
        <v>89</v>
      </c>
      <c r="F34" s="52" t="s">
        <v>46</v>
      </c>
      <c r="G34" s="52" t="s">
        <v>370</v>
      </c>
      <c r="H34" s="423" t="s">
        <v>91</v>
      </c>
      <c r="I34" s="330" t="s">
        <v>370</v>
      </c>
      <c r="J34" s="52">
        <v>44071</v>
      </c>
      <c r="K34" s="329">
        <v>44071</v>
      </c>
      <c r="L34" s="298">
        <v>44260</v>
      </c>
      <c r="M34" s="329">
        <v>44260</v>
      </c>
      <c r="N34" s="344">
        <f t="shared" si="12"/>
        <v>189</v>
      </c>
      <c r="O34" s="333">
        <f t="shared" si="12"/>
        <v>189</v>
      </c>
      <c r="P34" s="52" t="s">
        <v>370</v>
      </c>
      <c r="Q34" s="329">
        <v>44290</v>
      </c>
      <c r="R34" s="87">
        <v>44484</v>
      </c>
      <c r="S34" s="88">
        <v>6</v>
      </c>
      <c r="T34" s="50">
        <f t="shared" si="9"/>
        <v>6.4451827242524926</v>
      </c>
      <c r="U34" s="50"/>
      <c r="V34" s="50"/>
      <c r="W34" s="50" t="s">
        <v>370</v>
      </c>
      <c r="X34" s="182">
        <v>683158</v>
      </c>
      <c r="Y34" s="115">
        <v>65749</v>
      </c>
      <c r="Z34" s="115">
        <v>0</v>
      </c>
      <c r="AA34" s="115">
        <v>0</v>
      </c>
      <c r="AB34" s="115">
        <v>72518</v>
      </c>
      <c r="AC34" s="115">
        <v>31182</v>
      </c>
      <c r="AD34" s="115">
        <v>36101</v>
      </c>
      <c r="AE34" s="115">
        <v>79510</v>
      </c>
      <c r="AF34" s="115">
        <f>53107+111611</f>
        <v>164718</v>
      </c>
      <c r="AG34" s="115">
        <v>104045</v>
      </c>
      <c r="AH34" s="115">
        <v>68162.760000000009</v>
      </c>
      <c r="AI34" s="115">
        <v>61172.24</v>
      </c>
      <c r="AJ34" s="115">
        <v>0</v>
      </c>
      <c r="AK34" s="115">
        <v>29209.200000000001</v>
      </c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3"/>
      <c r="AY34" s="47"/>
      <c r="AZ34" s="53">
        <f t="shared" si="10"/>
        <v>712367.2</v>
      </c>
      <c r="BA34" s="51"/>
      <c r="BB34" s="359">
        <f t="shared" si="11"/>
        <v>29209.199999999953</v>
      </c>
      <c r="BD34" s="55"/>
    </row>
    <row r="35" spans="1:56" s="36" customFormat="1" ht="15.75" x14ac:dyDescent="0.25">
      <c r="A35" s="34" t="s">
        <v>92</v>
      </c>
      <c r="B35" s="35" t="s">
        <v>543</v>
      </c>
      <c r="C35" s="52" t="s">
        <v>380</v>
      </c>
      <c r="D35" s="52" t="s">
        <v>575</v>
      </c>
      <c r="E35" s="61" t="s">
        <v>94</v>
      </c>
      <c r="F35" s="52" t="s">
        <v>46</v>
      </c>
      <c r="G35" s="52" t="s">
        <v>370</v>
      </c>
      <c r="H35" s="423" t="s">
        <v>95</v>
      </c>
      <c r="I35" s="330" t="s">
        <v>370</v>
      </c>
      <c r="J35" s="52">
        <v>44120</v>
      </c>
      <c r="K35" s="330">
        <v>44120</v>
      </c>
      <c r="L35" s="299">
        <v>44246</v>
      </c>
      <c r="M35" s="330">
        <v>44246</v>
      </c>
      <c r="N35" s="344">
        <f t="shared" si="12"/>
        <v>126</v>
      </c>
      <c r="O35" s="333">
        <f t="shared" si="12"/>
        <v>126</v>
      </c>
      <c r="P35" s="52" t="s">
        <v>370</v>
      </c>
      <c r="Q35" s="329">
        <v>44256</v>
      </c>
      <c r="R35" s="87">
        <v>44557</v>
      </c>
      <c r="S35" s="88">
        <v>10</v>
      </c>
      <c r="T35" s="50">
        <f t="shared" si="9"/>
        <v>10</v>
      </c>
      <c r="U35" s="50"/>
      <c r="V35" s="50"/>
      <c r="W35" s="50" t="s">
        <v>370</v>
      </c>
      <c r="X35" s="182">
        <v>1436404</v>
      </c>
      <c r="Y35" s="115">
        <v>91138</v>
      </c>
      <c r="Z35" s="115">
        <v>0</v>
      </c>
      <c r="AA35" s="115">
        <v>0</v>
      </c>
      <c r="AB35" s="115">
        <v>0</v>
      </c>
      <c r="AC35" s="115">
        <v>55754</v>
      </c>
      <c r="AD35" s="115">
        <f>82399+102660</f>
        <v>185059</v>
      </c>
      <c r="AE35" s="115">
        <v>486176</v>
      </c>
      <c r="AF35" s="115">
        <v>117904</v>
      </c>
      <c r="AG35" s="115">
        <v>116211</v>
      </c>
      <c r="AH35" s="115">
        <v>178250.15</v>
      </c>
      <c r="AI35" s="115">
        <v>0</v>
      </c>
      <c r="AJ35" s="115">
        <v>161504.44</v>
      </c>
      <c r="AK35" s="115">
        <v>44407.22</v>
      </c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3"/>
      <c r="AY35" s="47"/>
      <c r="AZ35" s="53">
        <f t="shared" si="10"/>
        <v>1436403.8099999998</v>
      </c>
      <c r="BA35" s="51"/>
      <c r="BB35" s="359">
        <f t="shared" si="11"/>
        <v>-0.19000000017695129</v>
      </c>
      <c r="BD35" s="55"/>
    </row>
    <row r="36" spans="1:56" s="36" customFormat="1" ht="15.75" x14ac:dyDescent="0.25">
      <c r="A36" s="34" t="s">
        <v>96</v>
      </c>
      <c r="B36" s="35" t="s">
        <v>97</v>
      </c>
      <c r="C36" s="52" t="s">
        <v>380</v>
      </c>
      <c r="D36" s="52" t="s">
        <v>575</v>
      </c>
      <c r="E36" s="61" t="s">
        <v>98</v>
      </c>
      <c r="F36" s="52" t="s">
        <v>46</v>
      </c>
      <c r="G36" s="52" t="s">
        <v>370</v>
      </c>
      <c r="H36" s="423" t="s">
        <v>95</v>
      </c>
      <c r="I36" s="330" t="s">
        <v>370</v>
      </c>
      <c r="J36" s="52">
        <v>44168</v>
      </c>
      <c r="K36" s="330">
        <v>44168</v>
      </c>
      <c r="L36" s="299">
        <v>44280</v>
      </c>
      <c r="M36" s="330">
        <v>44280</v>
      </c>
      <c r="N36" s="344">
        <f t="shared" si="12"/>
        <v>112</v>
      </c>
      <c r="O36" s="333">
        <f t="shared" si="12"/>
        <v>112</v>
      </c>
      <c r="P36" s="52" t="s">
        <v>370</v>
      </c>
      <c r="Q36" s="329">
        <v>44284</v>
      </c>
      <c r="R36" s="87">
        <v>44524.800000000003</v>
      </c>
      <c r="S36" s="88">
        <v>8</v>
      </c>
      <c r="T36" s="50">
        <f t="shared" si="9"/>
        <v>8.0000000000000977</v>
      </c>
      <c r="U36" s="50"/>
      <c r="V36" s="50"/>
      <c r="W36" s="50" t="s">
        <v>370</v>
      </c>
      <c r="X36" s="182">
        <v>648253</v>
      </c>
      <c r="Y36" s="115">
        <v>124344</v>
      </c>
      <c r="Z36" s="115">
        <v>0</v>
      </c>
      <c r="AA36" s="115">
        <v>0</v>
      </c>
      <c r="AB36" s="115">
        <v>0</v>
      </c>
      <c r="AC36" s="115">
        <v>0</v>
      </c>
      <c r="AD36" s="115">
        <v>0</v>
      </c>
      <c r="AE36" s="115">
        <v>82390</v>
      </c>
      <c r="AF36" s="115">
        <v>0</v>
      </c>
      <c r="AG36" s="115">
        <v>125825</v>
      </c>
      <c r="AH36" s="115">
        <v>199275.86</v>
      </c>
      <c r="AI36" s="115">
        <v>49841.62</v>
      </c>
      <c r="AJ36" s="115">
        <v>43397.49</v>
      </c>
      <c r="AK36" s="115">
        <v>23178.47</v>
      </c>
      <c r="AL36" s="53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3"/>
      <c r="AY36" s="47"/>
      <c r="AZ36" s="53">
        <f t="shared" si="10"/>
        <v>648252.43999999994</v>
      </c>
      <c r="BA36" s="51"/>
      <c r="BB36" s="359">
        <f t="shared" si="11"/>
        <v>-0.56000000005587935</v>
      </c>
      <c r="BD36" s="55"/>
    </row>
    <row r="37" spans="1:56" s="36" customFormat="1" ht="15.75" x14ac:dyDescent="0.25">
      <c r="A37" s="60" t="s">
        <v>99</v>
      </c>
      <c r="B37" s="61" t="s">
        <v>100</v>
      </c>
      <c r="C37" s="52" t="s">
        <v>380</v>
      </c>
      <c r="D37" s="52" t="s">
        <v>575</v>
      </c>
      <c r="E37" s="61" t="s">
        <v>101</v>
      </c>
      <c r="F37" s="52" t="s">
        <v>46</v>
      </c>
      <c r="G37" s="52" t="s">
        <v>370</v>
      </c>
      <c r="H37" s="423" t="s">
        <v>95</v>
      </c>
      <c r="I37" s="330" t="s">
        <v>370</v>
      </c>
      <c r="J37" s="52">
        <v>44168</v>
      </c>
      <c r="K37" s="330">
        <v>44168</v>
      </c>
      <c r="L37" s="299">
        <v>44280</v>
      </c>
      <c r="M37" s="330">
        <v>44280</v>
      </c>
      <c r="N37" s="344">
        <f t="shared" si="12"/>
        <v>112</v>
      </c>
      <c r="O37" s="333">
        <f t="shared" si="12"/>
        <v>112</v>
      </c>
      <c r="P37" s="52" t="s">
        <v>370</v>
      </c>
      <c r="Q37" s="329">
        <v>44284</v>
      </c>
      <c r="R37" s="87">
        <v>44524</v>
      </c>
      <c r="S37" s="88">
        <v>8</v>
      </c>
      <c r="T37" s="50">
        <f t="shared" si="9"/>
        <v>7.9734219269102988</v>
      </c>
      <c r="U37" s="50"/>
      <c r="V37" s="50"/>
      <c r="W37" s="50" t="s">
        <v>370</v>
      </c>
      <c r="X37" s="182">
        <v>400187</v>
      </c>
      <c r="Y37" s="115">
        <v>14681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50940</v>
      </c>
      <c r="AF37" s="115">
        <v>0</v>
      </c>
      <c r="AG37" s="115">
        <v>231205</v>
      </c>
      <c r="AH37" s="115">
        <v>53980.66</v>
      </c>
      <c r="AI37" s="115">
        <v>26603.7</v>
      </c>
      <c r="AJ37" s="115">
        <v>22776.28</v>
      </c>
      <c r="AK37" s="115">
        <v>0</v>
      </c>
      <c r="AL37" s="53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3"/>
      <c r="AY37" s="47"/>
      <c r="AZ37" s="53">
        <f t="shared" si="10"/>
        <v>400186.64</v>
      </c>
      <c r="BA37" s="51"/>
      <c r="BB37" s="359">
        <f t="shared" si="11"/>
        <v>-0.35999999998603016</v>
      </c>
      <c r="BD37" s="55"/>
    </row>
    <row r="38" spans="1:56" s="36" customFormat="1" ht="15.75" x14ac:dyDescent="0.25">
      <c r="A38" s="113" t="s">
        <v>102</v>
      </c>
      <c r="B38" s="113" t="s">
        <v>385</v>
      </c>
      <c r="C38" s="52" t="s">
        <v>380</v>
      </c>
      <c r="D38" s="52" t="s">
        <v>575</v>
      </c>
      <c r="E38" s="113" t="s">
        <v>626</v>
      </c>
      <c r="F38" s="52" t="s">
        <v>46</v>
      </c>
      <c r="G38" s="52" t="s">
        <v>370</v>
      </c>
      <c r="H38" s="52" t="s">
        <v>813</v>
      </c>
      <c r="I38" s="330" t="s">
        <v>370</v>
      </c>
      <c r="J38" s="330" t="s">
        <v>24</v>
      </c>
      <c r="K38" s="330" t="s">
        <v>24</v>
      </c>
      <c r="L38" s="330" t="s">
        <v>24</v>
      </c>
      <c r="M38" s="330" t="s">
        <v>24</v>
      </c>
      <c r="N38" s="333" t="s">
        <v>24</v>
      </c>
      <c r="O38" s="333" t="s">
        <v>24</v>
      </c>
      <c r="P38" s="333" t="s">
        <v>320</v>
      </c>
      <c r="Q38" s="333" t="s">
        <v>24</v>
      </c>
      <c r="R38" s="333" t="s">
        <v>24</v>
      </c>
      <c r="S38" s="333" t="s">
        <v>24</v>
      </c>
      <c r="T38" s="333" t="s">
        <v>24</v>
      </c>
      <c r="U38" s="333" t="s">
        <v>24</v>
      </c>
      <c r="V38" s="333" t="s">
        <v>24</v>
      </c>
      <c r="W38" s="333" t="s">
        <v>24</v>
      </c>
      <c r="X38" s="86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15">
        <v>0</v>
      </c>
      <c r="AK38" s="115">
        <v>0</v>
      </c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47"/>
      <c r="AZ38" s="53">
        <f t="shared" si="10"/>
        <v>0</v>
      </c>
      <c r="BA38" s="51"/>
      <c r="BB38" s="359">
        <f t="shared" si="11"/>
        <v>0</v>
      </c>
      <c r="BD38" s="55"/>
    </row>
    <row r="39" spans="1:56" s="36" customFormat="1" ht="15.75" x14ac:dyDescent="0.25">
      <c r="A39" s="113" t="s">
        <v>107</v>
      </c>
      <c r="B39" s="114" t="s">
        <v>108</v>
      </c>
      <c r="C39" s="52" t="s">
        <v>380</v>
      </c>
      <c r="D39" s="52" t="s">
        <v>575</v>
      </c>
      <c r="E39" s="113" t="s">
        <v>109</v>
      </c>
      <c r="F39" s="52" t="s">
        <v>46</v>
      </c>
      <c r="G39" s="52" t="s">
        <v>370</v>
      </c>
      <c r="H39" s="52" t="s">
        <v>813</v>
      </c>
      <c r="I39" s="330" t="s">
        <v>370</v>
      </c>
      <c r="J39" s="52">
        <v>44417</v>
      </c>
      <c r="K39" s="330">
        <v>44417</v>
      </c>
      <c r="L39" s="299">
        <v>44418</v>
      </c>
      <c r="M39" s="330">
        <v>44418</v>
      </c>
      <c r="N39" s="344">
        <f>L39-J39</f>
        <v>1</v>
      </c>
      <c r="O39" s="333">
        <f>M39-K39</f>
        <v>1</v>
      </c>
      <c r="P39" s="52" t="s">
        <v>370</v>
      </c>
      <c r="Q39" s="329">
        <v>44470</v>
      </c>
      <c r="R39" s="52">
        <v>44596</v>
      </c>
      <c r="S39" s="50">
        <v>4</v>
      </c>
      <c r="T39" s="50">
        <f>((R39-Q39)/7)/4.3</f>
        <v>4.1860465116279073</v>
      </c>
      <c r="U39" s="50"/>
      <c r="V39" s="50"/>
      <c r="W39" s="50" t="s">
        <v>370</v>
      </c>
      <c r="X39" s="247">
        <v>355011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230079.99</v>
      </c>
      <c r="AK39" s="115">
        <v>34583.86</v>
      </c>
      <c r="AL39" s="275">
        <v>20000</v>
      </c>
      <c r="AM39" s="275">
        <v>10000</v>
      </c>
      <c r="AN39" s="275">
        <v>9931.01</v>
      </c>
      <c r="AO39" s="58"/>
      <c r="AP39" s="58"/>
      <c r="AQ39" s="58"/>
      <c r="AR39" s="58"/>
      <c r="AS39" s="58"/>
      <c r="AT39" s="58"/>
      <c r="AU39" s="58"/>
      <c r="AV39" s="58"/>
      <c r="AW39" s="58"/>
      <c r="AX39" s="53"/>
      <c r="AY39" s="47"/>
      <c r="AZ39" s="53">
        <f t="shared" si="10"/>
        <v>304594.86</v>
      </c>
      <c r="BA39" s="51"/>
      <c r="BB39" s="359">
        <f t="shared" si="11"/>
        <v>-50416.140000000014</v>
      </c>
      <c r="BD39" s="55"/>
    </row>
    <row r="40" spans="1:56" s="36" customFormat="1" ht="15.75" x14ac:dyDescent="0.25">
      <c r="A40" s="384"/>
      <c r="B40" s="391"/>
      <c r="C40" s="91"/>
      <c r="D40" s="91"/>
      <c r="E40" s="99"/>
      <c r="F40" s="91"/>
      <c r="G40" s="91"/>
      <c r="H40" s="91"/>
      <c r="I40" s="91"/>
      <c r="J40" s="91"/>
      <c r="K40" s="91"/>
      <c r="L40" s="91"/>
      <c r="M40" s="91"/>
      <c r="N40" s="91"/>
      <c r="O40" s="92"/>
      <c r="P40" s="91"/>
      <c r="Q40" s="91"/>
      <c r="R40" s="91"/>
      <c r="S40" s="92"/>
      <c r="T40" s="92"/>
      <c r="U40" s="92"/>
      <c r="V40" s="92"/>
      <c r="W40" s="92"/>
      <c r="X40" s="59">
        <f t="shared" ref="X40:AJ40" si="13">SUBTOTAL(9,X30:X39)</f>
        <v>6216624</v>
      </c>
      <c r="Y40" s="59">
        <f t="shared" si="13"/>
        <v>2084406</v>
      </c>
      <c r="Z40" s="59">
        <f t="shared" si="13"/>
        <v>93223</v>
      </c>
      <c r="AA40" s="59">
        <f t="shared" si="13"/>
        <v>-90886</v>
      </c>
      <c r="AB40" s="59">
        <f t="shared" si="13"/>
        <v>319732</v>
      </c>
      <c r="AC40" s="59">
        <f t="shared" si="13"/>
        <v>289952</v>
      </c>
      <c r="AD40" s="59">
        <f t="shared" si="13"/>
        <v>221160</v>
      </c>
      <c r="AE40" s="59">
        <f t="shared" si="13"/>
        <v>787168</v>
      </c>
      <c r="AF40" s="59">
        <f t="shared" si="13"/>
        <v>435439</v>
      </c>
      <c r="AG40" s="59">
        <f t="shared" si="13"/>
        <v>757842</v>
      </c>
      <c r="AH40" s="59">
        <f t="shared" si="13"/>
        <v>499669.43000000005</v>
      </c>
      <c r="AI40" s="59">
        <f t="shared" si="13"/>
        <v>137617.56</v>
      </c>
      <c r="AJ40" s="59">
        <f t="shared" si="13"/>
        <v>457758.19999999995</v>
      </c>
      <c r="AK40" s="59">
        <f>SUBTOTAL(9,AK30:AK39)</f>
        <v>131378.75</v>
      </c>
      <c r="AL40" s="59">
        <f t="shared" ref="AL40:AZ40" si="14">SUBTOTAL(9,AL30:AL39)</f>
        <v>51025</v>
      </c>
      <c r="AM40" s="59">
        <f t="shared" si="14"/>
        <v>10000</v>
      </c>
      <c r="AN40" s="59">
        <f t="shared" si="14"/>
        <v>9931.01</v>
      </c>
      <c r="AO40" s="59">
        <f t="shared" si="14"/>
        <v>0</v>
      </c>
      <c r="AP40" s="59">
        <f t="shared" si="14"/>
        <v>0</v>
      </c>
      <c r="AQ40" s="59">
        <f t="shared" si="14"/>
        <v>0</v>
      </c>
      <c r="AR40" s="59">
        <f t="shared" si="14"/>
        <v>0</v>
      </c>
      <c r="AS40" s="59">
        <f t="shared" si="14"/>
        <v>0</v>
      </c>
      <c r="AT40" s="59">
        <f t="shared" si="14"/>
        <v>0</v>
      </c>
      <c r="AU40" s="59">
        <f t="shared" si="14"/>
        <v>0</v>
      </c>
      <c r="AV40" s="59">
        <f t="shared" si="14"/>
        <v>0</v>
      </c>
      <c r="AW40" s="59">
        <f t="shared" si="14"/>
        <v>0</v>
      </c>
      <c r="AX40" s="59">
        <f t="shared" si="14"/>
        <v>0</v>
      </c>
      <c r="AY40" s="47"/>
      <c r="AZ40" s="59">
        <f t="shared" si="14"/>
        <v>6195415.9499999993</v>
      </c>
      <c r="BA40" s="51"/>
      <c r="BB40" s="359">
        <f t="shared" si="11"/>
        <v>-21208.050000000745</v>
      </c>
      <c r="BD40" s="55"/>
    </row>
    <row r="41" spans="1:56" s="36" customFormat="1" ht="15.75" x14ac:dyDescent="0.25">
      <c r="A41" s="381" t="s">
        <v>536</v>
      </c>
      <c r="B41" s="106"/>
      <c r="C41" s="102" t="s">
        <v>567</v>
      </c>
      <c r="D41" s="102"/>
      <c r="E41" s="106"/>
      <c r="F41" s="102"/>
      <c r="G41" s="102"/>
      <c r="H41" s="420"/>
      <c r="I41" s="102"/>
      <c r="J41" s="102"/>
      <c r="K41" s="276"/>
      <c r="L41" s="276"/>
      <c r="M41" s="276"/>
      <c r="N41" s="276"/>
      <c r="O41" s="84"/>
      <c r="P41" s="102"/>
      <c r="Q41" s="102"/>
      <c r="R41" s="102"/>
      <c r="S41" s="84"/>
      <c r="T41" s="84"/>
      <c r="U41" s="84"/>
      <c r="V41" s="84"/>
      <c r="W41" s="84"/>
      <c r="X41" s="193"/>
      <c r="Y41" s="85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47"/>
      <c r="AZ41" s="85"/>
      <c r="BA41" s="51"/>
      <c r="BB41" s="359"/>
      <c r="BD41" s="55"/>
    </row>
    <row r="42" spans="1:56" s="36" customFormat="1" ht="15.75" x14ac:dyDescent="0.25">
      <c r="A42" s="319" t="s">
        <v>434</v>
      </c>
      <c r="B42" s="320" t="s">
        <v>537</v>
      </c>
      <c r="C42" s="321" t="s">
        <v>567</v>
      </c>
      <c r="D42" s="321" t="s">
        <v>567</v>
      </c>
      <c r="E42" s="319"/>
      <c r="F42" s="321" t="s">
        <v>237</v>
      </c>
      <c r="G42" s="321"/>
      <c r="H42" s="321"/>
      <c r="I42" s="332" t="s">
        <v>24</v>
      </c>
      <c r="J42" s="332" t="s">
        <v>24</v>
      </c>
      <c r="K42" s="332" t="s">
        <v>24</v>
      </c>
      <c r="L42" s="332" t="s">
        <v>24</v>
      </c>
      <c r="M42" s="332" t="s">
        <v>24</v>
      </c>
      <c r="N42" s="343" t="s">
        <v>24</v>
      </c>
      <c r="O42" s="343" t="s">
        <v>24</v>
      </c>
      <c r="P42" s="343" t="s">
        <v>24</v>
      </c>
      <c r="Q42" s="332" t="s">
        <v>24</v>
      </c>
      <c r="R42" s="332" t="s">
        <v>24</v>
      </c>
      <c r="S42" s="343" t="s">
        <v>24</v>
      </c>
      <c r="T42" s="332" t="s">
        <v>24</v>
      </c>
      <c r="U42" s="332" t="s">
        <v>24</v>
      </c>
      <c r="V42" s="321"/>
      <c r="W42" s="321" t="s">
        <v>370</v>
      </c>
      <c r="X42" s="365">
        <f>353138+108818</f>
        <v>461956</v>
      </c>
      <c r="Y42" s="115">
        <v>0</v>
      </c>
      <c r="Z42" s="115">
        <v>353138</v>
      </c>
      <c r="AA42" s="115">
        <v>108818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15">
        <v>0</v>
      </c>
      <c r="AK42" s="115">
        <v>0</v>
      </c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47"/>
      <c r="AZ42" s="53">
        <f>SUM(Y42:AY42)</f>
        <v>461956</v>
      </c>
      <c r="BA42" s="51"/>
      <c r="BB42" s="359">
        <f t="shared" ref="BB42:BB73" si="15">AZ42-X42</f>
        <v>0</v>
      </c>
      <c r="BD42" s="55"/>
    </row>
    <row r="43" spans="1:56" s="36" customFormat="1" ht="15.75" x14ac:dyDescent="0.25">
      <c r="A43" s="113" t="s">
        <v>197</v>
      </c>
      <c r="B43" s="114" t="s">
        <v>198</v>
      </c>
      <c r="C43" s="52" t="s">
        <v>567</v>
      </c>
      <c r="D43" s="52" t="s">
        <v>567</v>
      </c>
      <c r="E43" s="113" t="s">
        <v>683</v>
      </c>
      <c r="F43" s="52" t="s">
        <v>46</v>
      </c>
      <c r="G43" s="52" t="s">
        <v>370</v>
      </c>
      <c r="H43" s="52" t="s">
        <v>814</v>
      </c>
      <c r="I43" s="330" t="s">
        <v>24</v>
      </c>
      <c r="J43" s="330" t="s">
        <v>24</v>
      </c>
      <c r="K43" s="330" t="s">
        <v>24</v>
      </c>
      <c r="L43" s="330" t="s">
        <v>24</v>
      </c>
      <c r="M43" s="330" t="s">
        <v>24</v>
      </c>
      <c r="N43" s="333" t="s">
        <v>24</v>
      </c>
      <c r="O43" s="333" t="s">
        <v>24</v>
      </c>
      <c r="P43" s="52" t="s">
        <v>370</v>
      </c>
      <c r="Q43" s="330">
        <v>44195</v>
      </c>
      <c r="R43" s="52">
        <v>44469</v>
      </c>
      <c r="S43" s="50">
        <v>9</v>
      </c>
      <c r="T43" s="50">
        <f>((R43-Q43)/7)/4.3</f>
        <v>9.1029900332225928</v>
      </c>
      <c r="U43" s="50"/>
      <c r="V43" s="50"/>
      <c r="W43" s="50" t="s">
        <v>370</v>
      </c>
      <c r="X43" s="247">
        <v>500577</v>
      </c>
      <c r="Y43" s="115">
        <v>0</v>
      </c>
      <c r="Z43" s="115">
        <v>0</v>
      </c>
      <c r="AA43" s="115">
        <v>17615</v>
      </c>
      <c r="AB43" s="115">
        <v>71648</v>
      </c>
      <c r="AC43" s="115">
        <v>0</v>
      </c>
      <c r="AD43" s="115">
        <v>97695</v>
      </c>
      <c r="AE43" s="115">
        <v>103125</v>
      </c>
      <c r="AF43" s="115">
        <v>92500</v>
      </c>
      <c r="AG43" s="115">
        <v>117994</v>
      </c>
      <c r="AH43" s="115">
        <v>0</v>
      </c>
      <c r="AI43" s="115">
        <v>0</v>
      </c>
      <c r="AJ43" s="115">
        <v>0</v>
      </c>
      <c r="AK43" s="115">
        <v>0</v>
      </c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47"/>
      <c r="AZ43" s="53">
        <f>SUM(Y43:AY43)</f>
        <v>500577</v>
      </c>
      <c r="BA43" s="51"/>
      <c r="BB43" s="359">
        <f t="shared" si="15"/>
        <v>0</v>
      </c>
      <c r="BD43" s="55"/>
    </row>
    <row r="44" spans="1:56" s="36" customFormat="1" ht="15.75" x14ac:dyDescent="0.25">
      <c r="A44" s="99"/>
      <c r="B44" s="100"/>
      <c r="C44" s="91"/>
      <c r="D44" s="91"/>
      <c r="E44" s="99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91"/>
      <c r="Q44" s="91"/>
      <c r="R44" s="91"/>
      <c r="S44" s="92"/>
      <c r="T44" s="92"/>
      <c r="U44" s="92"/>
      <c r="V44" s="92"/>
      <c r="W44" s="92"/>
      <c r="X44" s="59">
        <f t="shared" ref="X44:AK44" si="16">SUBTOTAL(9,X42:X43)</f>
        <v>962533</v>
      </c>
      <c r="Y44" s="59">
        <f t="shared" si="16"/>
        <v>0</v>
      </c>
      <c r="Z44" s="59">
        <f t="shared" si="16"/>
        <v>353138</v>
      </c>
      <c r="AA44" s="59">
        <f t="shared" si="16"/>
        <v>126433</v>
      </c>
      <c r="AB44" s="59">
        <f t="shared" si="16"/>
        <v>71648</v>
      </c>
      <c r="AC44" s="59">
        <f t="shared" si="16"/>
        <v>0</v>
      </c>
      <c r="AD44" s="59">
        <f t="shared" si="16"/>
        <v>97695</v>
      </c>
      <c r="AE44" s="59">
        <f t="shared" si="16"/>
        <v>103125</v>
      </c>
      <c r="AF44" s="59">
        <f t="shared" si="16"/>
        <v>92500</v>
      </c>
      <c r="AG44" s="59">
        <f t="shared" si="16"/>
        <v>117994</v>
      </c>
      <c r="AH44" s="59">
        <f t="shared" si="16"/>
        <v>0</v>
      </c>
      <c r="AI44" s="59">
        <f t="shared" si="16"/>
        <v>0</v>
      </c>
      <c r="AJ44" s="59">
        <f t="shared" si="16"/>
        <v>0</v>
      </c>
      <c r="AK44" s="59">
        <f t="shared" si="16"/>
        <v>0</v>
      </c>
      <c r="AL44" s="59">
        <f t="shared" ref="AL44:AZ44" si="17">SUBTOTAL(9,AL42:AL43)</f>
        <v>0</v>
      </c>
      <c r="AM44" s="59">
        <f t="shared" si="17"/>
        <v>0</v>
      </c>
      <c r="AN44" s="59">
        <f t="shared" si="17"/>
        <v>0</v>
      </c>
      <c r="AO44" s="59">
        <f t="shared" si="17"/>
        <v>0</v>
      </c>
      <c r="AP44" s="59">
        <f t="shared" si="17"/>
        <v>0</v>
      </c>
      <c r="AQ44" s="59">
        <f t="shared" si="17"/>
        <v>0</v>
      </c>
      <c r="AR44" s="59">
        <f t="shared" si="17"/>
        <v>0</v>
      </c>
      <c r="AS44" s="59">
        <f t="shared" si="17"/>
        <v>0</v>
      </c>
      <c r="AT44" s="59">
        <f t="shared" si="17"/>
        <v>0</v>
      </c>
      <c r="AU44" s="59">
        <f t="shared" si="17"/>
        <v>0</v>
      </c>
      <c r="AV44" s="59">
        <f t="shared" si="17"/>
        <v>0</v>
      </c>
      <c r="AW44" s="59">
        <f t="shared" si="17"/>
        <v>0</v>
      </c>
      <c r="AX44" s="59">
        <f t="shared" si="17"/>
        <v>0</v>
      </c>
      <c r="AY44" s="47"/>
      <c r="AZ44" s="59">
        <f t="shared" si="17"/>
        <v>962533</v>
      </c>
      <c r="BA44" s="51"/>
      <c r="BB44" s="359">
        <f t="shared" si="15"/>
        <v>0</v>
      </c>
    </row>
    <row r="45" spans="1:56" s="36" customFormat="1" ht="15.75" x14ac:dyDescent="0.25">
      <c r="A45" s="381" t="s">
        <v>569</v>
      </c>
      <c r="B45" s="106"/>
      <c r="C45" s="102" t="s">
        <v>562</v>
      </c>
      <c r="D45" s="102"/>
      <c r="E45" s="381"/>
      <c r="F45" s="102"/>
      <c r="G45" s="102"/>
      <c r="H45" s="102"/>
      <c r="I45" s="102"/>
      <c r="J45" s="102"/>
      <c r="K45" s="276"/>
      <c r="L45" s="276"/>
      <c r="M45" s="276"/>
      <c r="N45" s="276"/>
      <c r="O45" s="84"/>
      <c r="P45" s="102"/>
      <c r="Q45" s="102"/>
      <c r="R45" s="102"/>
      <c r="S45" s="84"/>
      <c r="T45" s="102"/>
      <c r="U45" s="102"/>
      <c r="V45" s="102"/>
      <c r="W45" s="102"/>
      <c r="X45" s="102"/>
      <c r="Y45" s="85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47"/>
      <c r="AZ45" s="85"/>
      <c r="BA45" s="51"/>
      <c r="BB45" s="359">
        <f t="shared" si="15"/>
        <v>0</v>
      </c>
    </row>
    <row r="46" spans="1:56" s="36" customFormat="1" ht="15.75" x14ac:dyDescent="0.25">
      <c r="A46" s="366" t="s">
        <v>127</v>
      </c>
      <c r="B46" s="366" t="s">
        <v>396</v>
      </c>
      <c r="C46" s="321" t="s">
        <v>562</v>
      </c>
      <c r="D46" s="321" t="s">
        <v>402</v>
      </c>
      <c r="E46" s="366" t="s">
        <v>447</v>
      </c>
      <c r="F46" s="321" t="s">
        <v>237</v>
      </c>
      <c r="G46" s="321" t="s">
        <v>370</v>
      </c>
      <c r="H46" s="321" t="s">
        <v>467</v>
      </c>
      <c r="I46" s="332" t="s">
        <v>370</v>
      </c>
      <c r="J46" s="321">
        <v>44253</v>
      </c>
      <c r="K46" s="332">
        <v>44253</v>
      </c>
      <c r="L46" s="339">
        <v>44272</v>
      </c>
      <c r="M46" s="332">
        <v>44272</v>
      </c>
      <c r="N46" s="332"/>
      <c r="O46" s="343">
        <f>M46-K46</f>
        <v>19</v>
      </c>
      <c r="P46" s="321" t="s">
        <v>370</v>
      </c>
      <c r="Q46" s="332">
        <v>44272</v>
      </c>
      <c r="R46" s="332">
        <v>44435</v>
      </c>
      <c r="S46" s="371">
        <v>5</v>
      </c>
      <c r="T46" s="322">
        <f>((R46-Q46)/7)/4.3</f>
        <v>5.4152823920265778</v>
      </c>
      <c r="U46" s="322"/>
      <c r="V46" s="322"/>
      <c r="W46" s="322" t="s">
        <v>370</v>
      </c>
      <c r="X46" s="323">
        <v>383545</v>
      </c>
      <c r="Y46" s="115">
        <v>0</v>
      </c>
      <c r="Z46" s="115">
        <v>0</v>
      </c>
      <c r="AA46" s="115">
        <v>0</v>
      </c>
      <c r="AB46" s="115">
        <v>0</v>
      </c>
      <c r="AC46" s="115">
        <f>84179+34753</f>
        <v>118932</v>
      </c>
      <c r="AD46" s="115">
        <f>93305+17005</f>
        <v>110310</v>
      </c>
      <c r="AE46" s="115">
        <v>66219</v>
      </c>
      <c r="AF46" s="115">
        <v>58693</v>
      </c>
      <c r="AG46" s="115">
        <v>29391</v>
      </c>
      <c r="AH46" s="115">
        <v>0</v>
      </c>
      <c r="AI46" s="115">
        <v>0</v>
      </c>
      <c r="AJ46" s="115">
        <v>0</v>
      </c>
      <c r="AK46" s="115">
        <v>0</v>
      </c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47"/>
      <c r="AZ46" s="53">
        <f>SUM(Y46:AY46)</f>
        <v>383545</v>
      </c>
      <c r="BA46" s="51"/>
      <c r="BB46" s="359">
        <f t="shared" si="15"/>
        <v>0</v>
      </c>
      <c r="BD46" s="55"/>
    </row>
    <row r="47" spans="1:56" s="36" customFormat="1" ht="15.75" x14ac:dyDescent="0.25">
      <c r="A47" s="244" t="s">
        <v>134</v>
      </c>
      <c r="B47" s="389" t="s">
        <v>135</v>
      </c>
      <c r="C47" s="52" t="s">
        <v>562</v>
      </c>
      <c r="D47" s="52" t="s">
        <v>566</v>
      </c>
      <c r="E47" s="56" t="s">
        <v>136</v>
      </c>
      <c r="F47" s="52" t="s">
        <v>46</v>
      </c>
      <c r="G47" s="52" t="s">
        <v>370</v>
      </c>
      <c r="H47" s="52" t="s">
        <v>809</v>
      </c>
      <c r="I47" s="330" t="s">
        <v>24</v>
      </c>
      <c r="J47" s="52">
        <v>44174</v>
      </c>
      <c r="K47" s="330">
        <v>44174</v>
      </c>
      <c r="L47" s="299">
        <v>44223</v>
      </c>
      <c r="M47" s="330">
        <v>44223</v>
      </c>
      <c r="N47" s="344">
        <f>L47-J47</f>
        <v>49</v>
      </c>
      <c r="O47" s="333">
        <f>M47-K47</f>
        <v>49</v>
      </c>
      <c r="P47" s="52" t="s">
        <v>370</v>
      </c>
      <c r="Q47" s="330">
        <v>44382</v>
      </c>
      <c r="R47" s="87">
        <v>44540</v>
      </c>
      <c r="S47" s="50">
        <v>5</v>
      </c>
      <c r="T47" s="50">
        <f>((R47-Q47)/7)/4.3</f>
        <v>5.249169435215947</v>
      </c>
      <c r="U47" s="50"/>
      <c r="V47" s="50"/>
      <c r="W47" s="50" t="s">
        <v>370</v>
      </c>
      <c r="X47" s="245">
        <v>1006579</v>
      </c>
      <c r="Y47" s="115">
        <v>131243</v>
      </c>
      <c r="Z47" s="115">
        <v>0</v>
      </c>
      <c r="AA47" s="115">
        <v>0</v>
      </c>
      <c r="AB47" s="115">
        <v>0</v>
      </c>
      <c r="AC47" s="115"/>
      <c r="AD47" s="115">
        <f>36571+46439</f>
        <v>83010</v>
      </c>
      <c r="AE47" s="115">
        <v>67371</v>
      </c>
      <c r="AF47" s="115">
        <v>0</v>
      </c>
      <c r="AG47" s="115">
        <v>103268</v>
      </c>
      <c r="AH47" s="115">
        <v>113601.11</v>
      </c>
      <c r="AI47" s="115">
        <v>227523.97</v>
      </c>
      <c r="AJ47" s="115">
        <v>173989.42</v>
      </c>
      <c r="AK47" s="115">
        <v>106572.13</v>
      </c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7"/>
      <c r="AZ47" s="53">
        <f>SUM(Y47:AY47)</f>
        <v>1006578.63</v>
      </c>
      <c r="BA47" s="51"/>
      <c r="BB47" s="359">
        <f t="shared" si="15"/>
        <v>-0.36999999999534339</v>
      </c>
    </row>
    <row r="48" spans="1:56" s="36" customFormat="1" ht="15.75" x14ac:dyDescent="0.25">
      <c r="A48" s="34" t="s">
        <v>226</v>
      </c>
      <c r="B48" s="34" t="s">
        <v>442</v>
      </c>
      <c r="C48" s="52" t="s">
        <v>562</v>
      </c>
      <c r="D48" s="52" t="s">
        <v>565</v>
      </c>
      <c r="E48" s="34" t="s">
        <v>656</v>
      </c>
      <c r="F48" s="52" t="s">
        <v>46</v>
      </c>
      <c r="G48" s="52" t="s">
        <v>370</v>
      </c>
      <c r="H48" s="52" t="s">
        <v>809</v>
      </c>
      <c r="I48" s="330" t="s">
        <v>24</v>
      </c>
      <c r="J48" s="52">
        <v>44295</v>
      </c>
      <c r="K48" s="330">
        <v>44295</v>
      </c>
      <c r="L48" s="299">
        <v>44357</v>
      </c>
      <c r="M48" s="330">
        <v>44357</v>
      </c>
      <c r="N48" s="344">
        <f>L48-J48</f>
        <v>62</v>
      </c>
      <c r="O48" s="333">
        <f>M48-K48</f>
        <v>62</v>
      </c>
      <c r="P48" s="52" t="s">
        <v>370</v>
      </c>
      <c r="Q48" s="330">
        <v>44387</v>
      </c>
      <c r="R48" s="87">
        <v>44540</v>
      </c>
      <c r="S48" s="50">
        <v>5</v>
      </c>
      <c r="T48" s="50">
        <f>((R48-Q48)/7)/4.3</f>
        <v>5.0830564784053163</v>
      </c>
      <c r="U48" s="50"/>
      <c r="V48" s="50"/>
      <c r="W48" s="50" t="s">
        <v>370</v>
      </c>
      <c r="X48" s="182">
        <v>2259828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105517</v>
      </c>
      <c r="AE48" s="115">
        <v>201248</v>
      </c>
      <c r="AF48" s="115">
        <v>0</v>
      </c>
      <c r="AG48" s="115">
        <v>748228</v>
      </c>
      <c r="AH48" s="115">
        <v>181824.92</v>
      </c>
      <c r="AI48" s="115">
        <v>308182.90999999997</v>
      </c>
      <c r="AJ48" s="115">
        <v>347750.61</v>
      </c>
      <c r="AK48" s="115">
        <v>375400.32</v>
      </c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3"/>
      <c r="AY48" s="47"/>
      <c r="AZ48" s="53">
        <f>SUM(Y48:AY48)</f>
        <v>2268151.7599999998</v>
      </c>
      <c r="BA48" s="51"/>
      <c r="BB48" s="359">
        <f t="shared" si="15"/>
        <v>8323.7599999997765</v>
      </c>
    </row>
    <row r="49" spans="1:56" s="36" customFormat="1" ht="15.75" x14ac:dyDescent="0.25">
      <c r="A49" s="99"/>
      <c r="B49" s="100"/>
      <c r="C49" s="91"/>
      <c r="D49" s="91"/>
      <c r="E49" s="99"/>
      <c r="F49" s="91"/>
      <c r="G49" s="91"/>
      <c r="H49" s="91"/>
      <c r="I49" s="91"/>
      <c r="J49" s="91"/>
      <c r="K49" s="91"/>
      <c r="L49" s="91"/>
      <c r="M49" s="91"/>
      <c r="N49" s="91"/>
      <c r="O49" s="92"/>
      <c r="P49" s="91"/>
      <c r="Q49" s="91"/>
      <c r="R49" s="91"/>
      <c r="S49" s="92"/>
      <c r="T49" s="91"/>
      <c r="U49" s="92"/>
      <c r="V49" s="92"/>
      <c r="W49" s="92"/>
      <c r="X49" s="59">
        <f t="shared" ref="X49:AJ49" si="18">SUBTOTAL(9,X46:X48)</f>
        <v>3649952</v>
      </c>
      <c r="Y49" s="59">
        <f t="shared" si="18"/>
        <v>131243</v>
      </c>
      <c r="Z49" s="59">
        <f t="shared" si="18"/>
        <v>0</v>
      </c>
      <c r="AA49" s="59">
        <f t="shared" si="18"/>
        <v>0</v>
      </c>
      <c r="AB49" s="59">
        <f t="shared" si="18"/>
        <v>0</v>
      </c>
      <c r="AC49" s="59">
        <f t="shared" si="18"/>
        <v>118932</v>
      </c>
      <c r="AD49" s="59">
        <f t="shared" si="18"/>
        <v>298837</v>
      </c>
      <c r="AE49" s="59">
        <f t="shared" si="18"/>
        <v>334838</v>
      </c>
      <c r="AF49" s="59">
        <f t="shared" si="18"/>
        <v>58693</v>
      </c>
      <c r="AG49" s="59">
        <f t="shared" si="18"/>
        <v>880887</v>
      </c>
      <c r="AH49" s="59">
        <f t="shared" si="18"/>
        <v>295426.03000000003</v>
      </c>
      <c r="AI49" s="59">
        <f t="shared" si="18"/>
        <v>535706.88</v>
      </c>
      <c r="AJ49" s="59">
        <f t="shared" si="18"/>
        <v>521740.03</v>
      </c>
      <c r="AK49" s="59">
        <f>SUBTOTAL(9,AK46:AK48)</f>
        <v>481972.45</v>
      </c>
      <c r="AL49" s="59">
        <f t="shared" ref="AL49:AX49" si="19">SUBTOTAL(9,AL46:AL48)</f>
        <v>0</v>
      </c>
      <c r="AM49" s="59">
        <f t="shared" si="19"/>
        <v>0</v>
      </c>
      <c r="AN49" s="59">
        <f t="shared" si="19"/>
        <v>0</v>
      </c>
      <c r="AO49" s="59">
        <f t="shared" si="19"/>
        <v>0</v>
      </c>
      <c r="AP49" s="59">
        <f t="shared" si="19"/>
        <v>0</v>
      </c>
      <c r="AQ49" s="59">
        <f t="shared" si="19"/>
        <v>0</v>
      </c>
      <c r="AR49" s="59">
        <f t="shared" si="19"/>
        <v>0</v>
      </c>
      <c r="AS49" s="59">
        <f t="shared" si="19"/>
        <v>0</v>
      </c>
      <c r="AT49" s="59">
        <f t="shared" si="19"/>
        <v>0</v>
      </c>
      <c r="AU49" s="59">
        <f t="shared" si="19"/>
        <v>0</v>
      </c>
      <c r="AV49" s="59">
        <f t="shared" si="19"/>
        <v>0</v>
      </c>
      <c r="AW49" s="59">
        <f t="shared" si="19"/>
        <v>0</v>
      </c>
      <c r="AX49" s="59">
        <f t="shared" si="19"/>
        <v>0</v>
      </c>
      <c r="AY49" s="47"/>
      <c r="AZ49" s="59">
        <f>SUBTOTAL(9,AZ46:AZ48)</f>
        <v>3658275.3899999997</v>
      </c>
      <c r="BA49" s="51"/>
      <c r="BB49" s="359">
        <f t="shared" si="15"/>
        <v>8323.3899999996647</v>
      </c>
    </row>
    <row r="50" spans="1:56" s="36" customFormat="1" ht="15.75" x14ac:dyDescent="0.25">
      <c r="A50" s="381" t="s">
        <v>761</v>
      </c>
      <c r="B50" s="381"/>
      <c r="C50" s="102" t="s">
        <v>762</v>
      </c>
      <c r="D50" s="102"/>
      <c r="E50" s="106"/>
      <c r="F50" s="102"/>
      <c r="G50" s="102"/>
      <c r="H50" s="420"/>
      <c r="I50" s="102"/>
      <c r="J50" s="102"/>
      <c r="K50" s="276"/>
      <c r="L50" s="276"/>
      <c r="M50" s="276"/>
      <c r="N50" s="276"/>
      <c r="O50" s="84"/>
      <c r="P50" s="102"/>
      <c r="Q50" s="102"/>
      <c r="R50" s="102"/>
      <c r="S50" s="84"/>
      <c r="T50" s="102"/>
      <c r="U50" s="102"/>
      <c r="V50" s="102"/>
      <c r="W50" s="102"/>
      <c r="X50" s="102"/>
      <c r="Y50" s="85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47"/>
      <c r="AZ50" s="85"/>
      <c r="BA50" s="51"/>
      <c r="BB50" s="359">
        <f t="shared" si="15"/>
        <v>0</v>
      </c>
      <c r="BD50" s="55"/>
    </row>
    <row r="51" spans="1:56" s="36" customFormat="1" ht="15.75" x14ac:dyDescent="0.25">
      <c r="A51" s="113" t="s">
        <v>203</v>
      </c>
      <c r="B51" s="113" t="s">
        <v>204</v>
      </c>
      <c r="C51" s="52" t="s">
        <v>762</v>
      </c>
      <c r="D51" s="52" t="s">
        <v>630</v>
      </c>
      <c r="E51" s="63" t="s">
        <v>684</v>
      </c>
      <c r="F51" s="52" t="s">
        <v>46</v>
      </c>
      <c r="G51" s="52" t="s">
        <v>370</v>
      </c>
      <c r="H51" s="426" t="s">
        <v>815</v>
      </c>
      <c r="I51" s="330" t="s">
        <v>370</v>
      </c>
      <c r="J51" s="52">
        <v>44369</v>
      </c>
      <c r="K51" s="330">
        <v>44369</v>
      </c>
      <c r="L51" s="299">
        <v>44461</v>
      </c>
      <c r="M51" s="329">
        <v>44461</v>
      </c>
      <c r="N51" s="344">
        <f>L51-J51</f>
        <v>92</v>
      </c>
      <c r="O51" s="333">
        <f>M51-K51</f>
        <v>92</v>
      </c>
      <c r="P51" s="52" t="s">
        <v>370</v>
      </c>
      <c r="Q51" s="329">
        <v>44399</v>
      </c>
      <c r="R51" s="52">
        <v>44803</v>
      </c>
      <c r="S51" s="50">
        <v>13</v>
      </c>
      <c r="T51" s="50">
        <f>((R51-Q51)/7)/4.3</f>
        <v>13.421926910299003</v>
      </c>
      <c r="U51" s="50"/>
      <c r="V51" s="50"/>
      <c r="W51" s="50" t="s">
        <v>370</v>
      </c>
      <c r="X51" s="182">
        <v>12114221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941343</v>
      </c>
      <c r="AH51" s="115">
        <v>403549.63</v>
      </c>
      <c r="AI51" s="115">
        <v>37623.360000000001</v>
      </c>
      <c r="AJ51" s="115">
        <v>1053416.4099999999</v>
      </c>
      <c r="AK51" s="115">
        <v>633081.81000000006</v>
      </c>
      <c r="AL51" s="275">
        <v>1000000</v>
      </c>
      <c r="AM51" s="275">
        <v>1000000</v>
      </c>
      <c r="AN51" s="275">
        <v>1000000</v>
      </c>
      <c r="AO51" s="275">
        <v>1000000</v>
      </c>
      <c r="AP51" s="275">
        <v>468583.59</v>
      </c>
      <c r="AQ51" s="275">
        <v>1000000</v>
      </c>
      <c r="AR51" s="275">
        <v>1000000</v>
      </c>
      <c r="AS51" s="275">
        <v>1000000</v>
      </c>
      <c r="AT51" s="275">
        <v>1000000</v>
      </c>
      <c r="AU51" s="275">
        <v>437705.01</v>
      </c>
      <c r="AV51" s="58"/>
      <c r="AW51" s="58"/>
      <c r="AX51" s="53"/>
      <c r="AY51" s="47"/>
      <c r="AZ51" s="53">
        <f>SUM(Y51:AY51)</f>
        <v>11975302.810000001</v>
      </c>
      <c r="BA51" s="51"/>
      <c r="BB51" s="359">
        <f t="shared" si="15"/>
        <v>-138918.18999999948</v>
      </c>
    </row>
    <row r="52" spans="1:56" s="36" customFormat="1" ht="15.75" x14ac:dyDescent="0.25">
      <c r="A52" s="99"/>
      <c r="B52" s="99"/>
      <c r="C52" s="395"/>
      <c r="D52" s="91"/>
      <c r="E52" s="388"/>
      <c r="F52" s="91"/>
      <c r="G52" s="91"/>
      <c r="H52" s="395"/>
      <c r="I52" s="91"/>
      <c r="J52" s="91"/>
      <c r="K52" s="91"/>
      <c r="L52" s="91"/>
      <c r="M52" s="91"/>
      <c r="N52" s="91"/>
      <c r="O52" s="92"/>
      <c r="P52" s="91"/>
      <c r="Q52" s="91"/>
      <c r="R52" s="91"/>
      <c r="S52" s="92"/>
      <c r="T52" s="91"/>
      <c r="U52" s="92"/>
      <c r="V52" s="92"/>
      <c r="W52" s="92"/>
      <c r="X52" s="59">
        <f t="shared" ref="X52:AJ52" si="20">SUBTOTAL(9,X51)</f>
        <v>12114221</v>
      </c>
      <c r="Y52" s="59">
        <f t="shared" si="20"/>
        <v>0</v>
      </c>
      <c r="Z52" s="59">
        <f t="shared" si="20"/>
        <v>0</v>
      </c>
      <c r="AA52" s="59">
        <f t="shared" si="20"/>
        <v>0</v>
      </c>
      <c r="AB52" s="59">
        <f t="shared" si="20"/>
        <v>0</v>
      </c>
      <c r="AC52" s="59">
        <f t="shared" si="20"/>
        <v>0</v>
      </c>
      <c r="AD52" s="59">
        <f t="shared" si="20"/>
        <v>0</v>
      </c>
      <c r="AE52" s="59">
        <f t="shared" si="20"/>
        <v>0</v>
      </c>
      <c r="AF52" s="59">
        <f t="shared" si="20"/>
        <v>0</v>
      </c>
      <c r="AG52" s="59">
        <f t="shared" si="20"/>
        <v>941343</v>
      </c>
      <c r="AH52" s="59">
        <f t="shared" si="20"/>
        <v>403549.63</v>
      </c>
      <c r="AI52" s="59">
        <f t="shared" si="20"/>
        <v>37623.360000000001</v>
      </c>
      <c r="AJ52" s="59">
        <f t="shared" si="20"/>
        <v>1053416.4099999999</v>
      </c>
      <c r="AK52" s="59">
        <f>SUBTOTAL(9,AK51)</f>
        <v>633081.81000000006</v>
      </c>
      <c r="AL52" s="59">
        <f t="shared" ref="AL52:AX52" si="21">SUBTOTAL(9,AL51)</f>
        <v>1000000</v>
      </c>
      <c r="AM52" s="59">
        <f t="shared" si="21"/>
        <v>1000000</v>
      </c>
      <c r="AN52" s="59">
        <f t="shared" si="21"/>
        <v>1000000</v>
      </c>
      <c r="AO52" s="59">
        <f t="shared" si="21"/>
        <v>1000000</v>
      </c>
      <c r="AP52" s="59">
        <f t="shared" si="21"/>
        <v>468583.59</v>
      </c>
      <c r="AQ52" s="59">
        <f t="shared" si="21"/>
        <v>1000000</v>
      </c>
      <c r="AR52" s="59">
        <f t="shared" si="21"/>
        <v>1000000</v>
      </c>
      <c r="AS52" s="59">
        <f t="shared" si="21"/>
        <v>1000000</v>
      </c>
      <c r="AT52" s="59">
        <f t="shared" si="21"/>
        <v>1000000</v>
      </c>
      <c r="AU52" s="59">
        <f t="shared" si="21"/>
        <v>437705.01</v>
      </c>
      <c r="AV52" s="59">
        <f t="shared" si="21"/>
        <v>0</v>
      </c>
      <c r="AW52" s="59">
        <f t="shared" si="21"/>
        <v>0</v>
      </c>
      <c r="AX52" s="59">
        <f t="shared" si="21"/>
        <v>0</v>
      </c>
      <c r="AY52" s="47"/>
      <c r="AZ52" s="59">
        <f>SUBTOTAL(9,AZ51)</f>
        <v>11975302.810000001</v>
      </c>
      <c r="BA52" s="51"/>
      <c r="BB52" s="359">
        <f t="shared" si="15"/>
        <v>-138918.18999999948</v>
      </c>
    </row>
    <row r="53" spans="1:56" s="36" customFormat="1" ht="15.75" x14ac:dyDescent="0.25">
      <c r="A53" s="381" t="s">
        <v>234</v>
      </c>
      <c r="B53" s="381"/>
      <c r="C53" s="101" t="s">
        <v>570</v>
      </c>
      <c r="D53" s="102"/>
      <c r="E53" s="107"/>
      <c r="F53" s="102"/>
      <c r="G53" s="102"/>
      <c r="H53" s="101"/>
      <c r="I53" s="102"/>
      <c r="J53" s="102"/>
      <c r="K53" s="276"/>
      <c r="L53" s="276"/>
      <c r="M53" s="276"/>
      <c r="N53" s="276"/>
      <c r="O53" s="84"/>
      <c r="P53" s="102"/>
      <c r="Q53" s="102"/>
      <c r="R53" s="102"/>
      <c r="S53" s="84"/>
      <c r="T53" s="102"/>
      <c r="U53" s="102"/>
      <c r="V53" s="102"/>
      <c r="W53" s="102"/>
      <c r="X53" s="102"/>
      <c r="Y53" s="85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47"/>
      <c r="AZ53" s="85"/>
      <c r="BA53" s="51"/>
      <c r="BB53" s="359">
        <f t="shared" si="15"/>
        <v>0</v>
      </c>
    </row>
    <row r="54" spans="1:56" s="36" customFormat="1" ht="15.75" x14ac:dyDescent="0.25">
      <c r="A54" s="319" t="s">
        <v>238</v>
      </c>
      <c r="B54" s="320" t="s">
        <v>239</v>
      </c>
      <c r="C54" s="321" t="s">
        <v>570</v>
      </c>
      <c r="D54" s="321"/>
      <c r="E54" s="320" t="s">
        <v>632</v>
      </c>
      <c r="F54" s="321" t="s">
        <v>237</v>
      </c>
      <c r="G54" s="321" t="s">
        <v>370</v>
      </c>
      <c r="H54" s="428" t="s">
        <v>809</v>
      </c>
      <c r="I54" s="332" t="s">
        <v>24</v>
      </c>
      <c r="J54" s="321"/>
      <c r="K54" s="321"/>
      <c r="L54" s="321"/>
      <c r="M54" s="321"/>
      <c r="N54" s="321"/>
      <c r="O54" s="322">
        <f>M54-K54</f>
        <v>0</v>
      </c>
      <c r="P54" s="321" t="s">
        <v>370</v>
      </c>
      <c r="Q54" s="332">
        <v>43836</v>
      </c>
      <c r="R54" s="332">
        <v>44090</v>
      </c>
      <c r="S54" s="371">
        <v>8</v>
      </c>
      <c r="T54" s="322">
        <f>((R54-Q54)/7)/4.3</f>
        <v>8.4385382059800662</v>
      </c>
      <c r="U54" s="322" t="s">
        <v>237</v>
      </c>
      <c r="V54" s="322"/>
      <c r="W54" s="322" t="s">
        <v>370</v>
      </c>
      <c r="X54" s="323">
        <f>1219262-1559</f>
        <v>1217703</v>
      </c>
      <c r="Y54" s="115">
        <v>1206322</v>
      </c>
      <c r="Z54" s="115">
        <v>11381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15"/>
      <c r="AI54" s="115">
        <v>0</v>
      </c>
      <c r="AJ54" s="115">
        <v>0</v>
      </c>
      <c r="AK54" s="115">
        <v>0</v>
      </c>
      <c r="AL54" s="115">
        <v>0</v>
      </c>
      <c r="AM54" s="115">
        <v>0</v>
      </c>
      <c r="AN54" s="115">
        <v>0</v>
      </c>
      <c r="AO54" s="115">
        <v>0</v>
      </c>
      <c r="AP54" s="115">
        <v>0</v>
      </c>
      <c r="AQ54" s="115">
        <v>0</v>
      </c>
      <c r="AR54" s="115">
        <v>0</v>
      </c>
      <c r="AS54" s="115">
        <v>0</v>
      </c>
      <c r="AT54" s="115">
        <v>0</v>
      </c>
      <c r="AU54" s="115">
        <v>0</v>
      </c>
      <c r="AV54" s="115">
        <v>0</v>
      </c>
      <c r="AW54" s="115">
        <v>0</v>
      </c>
      <c r="AX54" s="115">
        <v>0</v>
      </c>
      <c r="AY54" s="47"/>
      <c r="AZ54" s="53">
        <f>SUM(Y54:AY54)</f>
        <v>1217703</v>
      </c>
      <c r="BA54" s="51"/>
      <c r="BB54" s="359">
        <f t="shared" si="15"/>
        <v>0</v>
      </c>
    </row>
    <row r="55" spans="1:56" s="36" customFormat="1" ht="15.75" x14ac:dyDescent="0.25">
      <c r="A55" s="319" t="s">
        <v>273</v>
      </c>
      <c r="B55" s="320" t="s">
        <v>274</v>
      </c>
      <c r="C55" s="321" t="s">
        <v>570</v>
      </c>
      <c r="D55" s="321"/>
      <c r="E55" s="320" t="s">
        <v>275</v>
      </c>
      <c r="F55" s="321" t="s">
        <v>237</v>
      </c>
      <c r="G55" s="321" t="s">
        <v>370</v>
      </c>
      <c r="H55" s="428" t="s">
        <v>809</v>
      </c>
      <c r="I55" s="332" t="s">
        <v>24</v>
      </c>
      <c r="J55" s="321"/>
      <c r="K55" s="321"/>
      <c r="L55" s="321"/>
      <c r="M55" s="321"/>
      <c r="N55" s="321"/>
      <c r="O55" s="322">
        <f>M55-K55</f>
        <v>0</v>
      </c>
      <c r="P55" s="321" t="s">
        <v>370</v>
      </c>
      <c r="Q55" s="332">
        <v>43889</v>
      </c>
      <c r="R55" s="332">
        <v>44187</v>
      </c>
      <c r="S55" s="371">
        <v>10</v>
      </c>
      <c r="T55" s="322">
        <f>((R55-Q55)/7)/4.3</f>
        <v>9.9003322259136208</v>
      </c>
      <c r="U55" s="322" t="s">
        <v>237</v>
      </c>
      <c r="V55" s="322"/>
      <c r="W55" s="322" t="s">
        <v>370</v>
      </c>
      <c r="X55" s="323">
        <f>577676+1200</f>
        <v>578876</v>
      </c>
      <c r="Y55" s="115">
        <v>568341</v>
      </c>
      <c r="Z55" s="115">
        <v>2335</v>
      </c>
      <c r="AA55" s="115">
        <v>0</v>
      </c>
      <c r="AB55" s="115">
        <v>0</v>
      </c>
      <c r="AC55" s="115">
        <v>0</v>
      </c>
      <c r="AD55" s="115">
        <v>8200</v>
      </c>
      <c r="AE55" s="115">
        <v>0</v>
      </c>
      <c r="AF55" s="115">
        <v>0</v>
      </c>
      <c r="AG55" s="115">
        <v>0</v>
      </c>
      <c r="AH55" s="115"/>
      <c r="AI55" s="115">
        <v>0</v>
      </c>
      <c r="AJ55" s="115">
        <v>0</v>
      </c>
      <c r="AK55" s="115">
        <v>0</v>
      </c>
      <c r="AL55" s="115">
        <v>0</v>
      </c>
      <c r="AM55" s="115">
        <v>0</v>
      </c>
      <c r="AN55" s="115">
        <v>0</v>
      </c>
      <c r="AO55" s="115">
        <v>0</v>
      </c>
      <c r="AP55" s="115">
        <v>0</v>
      </c>
      <c r="AQ55" s="115">
        <v>0</v>
      </c>
      <c r="AR55" s="115">
        <v>0</v>
      </c>
      <c r="AS55" s="115">
        <v>0</v>
      </c>
      <c r="AT55" s="115">
        <v>0</v>
      </c>
      <c r="AU55" s="115">
        <v>0</v>
      </c>
      <c r="AV55" s="115">
        <v>0</v>
      </c>
      <c r="AW55" s="115">
        <v>0</v>
      </c>
      <c r="AX55" s="115">
        <v>0</v>
      </c>
      <c r="AY55" s="47"/>
      <c r="AZ55" s="53">
        <f>SUM(Y55:AY55)</f>
        <v>578876</v>
      </c>
      <c r="BA55" s="51"/>
      <c r="BB55" s="359">
        <f t="shared" si="15"/>
        <v>0</v>
      </c>
    </row>
    <row r="56" spans="1:56" s="452" customFormat="1" ht="15.75" x14ac:dyDescent="0.25">
      <c r="A56" s="443"/>
      <c r="B56" s="444"/>
      <c r="C56" s="445"/>
      <c r="D56" s="445"/>
      <c r="E56" s="444"/>
      <c r="F56" s="445"/>
      <c r="G56" s="445"/>
      <c r="H56" s="446"/>
      <c r="I56" s="445"/>
      <c r="J56" s="445"/>
      <c r="K56" s="445"/>
      <c r="L56" s="445"/>
      <c r="M56" s="445"/>
      <c r="N56" s="445"/>
      <c r="O56" s="447"/>
      <c r="P56" s="445"/>
      <c r="Q56" s="445"/>
      <c r="R56" s="445"/>
      <c r="S56" s="447"/>
      <c r="T56" s="447"/>
      <c r="U56" s="447"/>
      <c r="V56" s="447"/>
      <c r="W56" s="447"/>
      <c r="X56" s="448">
        <f t="shared" ref="X56:AX56" si="22">SUBTOTAL(9,X54:X55)</f>
        <v>1796579</v>
      </c>
      <c r="Y56" s="448">
        <f t="shared" si="22"/>
        <v>1774663</v>
      </c>
      <c r="Z56" s="448">
        <f t="shared" si="22"/>
        <v>13716</v>
      </c>
      <c r="AA56" s="448">
        <f t="shared" si="22"/>
        <v>0</v>
      </c>
      <c r="AB56" s="448">
        <f t="shared" si="22"/>
        <v>0</v>
      </c>
      <c r="AC56" s="448">
        <f t="shared" si="22"/>
        <v>0</v>
      </c>
      <c r="AD56" s="448">
        <f t="shared" si="22"/>
        <v>8200</v>
      </c>
      <c r="AE56" s="448">
        <f t="shared" si="22"/>
        <v>0</v>
      </c>
      <c r="AF56" s="448">
        <f t="shared" si="22"/>
        <v>0</v>
      </c>
      <c r="AG56" s="448">
        <f t="shared" si="22"/>
        <v>0</v>
      </c>
      <c r="AH56" s="448">
        <f t="shared" si="22"/>
        <v>0</v>
      </c>
      <c r="AI56" s="448">
        <f t="shared" si="22"/>
        <v>0</v>
      </c>
      <c r="AJ56" s="448">
        <f t="shared" si="22"/>
        <v>0</v>
      </c>
      <c r="AK56" s="448">
        <f t="shared" si="22"/>
        <v>0</v>
      </c>
      <c r="AL56" s="448">
        <f t="shared" si="22"/>
        <v>0</v>
      </c>
      <c r="AM56" s="448">
        <f t="shared" si="22"/>
        <v>0</v>
      </c>
      <c r="AN56" s="448">
        <f t="shared" si="22"/>
        <v>0</v>
      </c>
      <c r="AO56" s="448">
        <f t="shared" si="22"/>
        <v>0</v>
      </c>
      <c r="AP56" s="448">
        <f t="shared" si="22"/>
        <v>0</v>
      </c>
      <c r="AQ56" s="448">
        <f t="shared" si="22"/>
        <v>0</v>
      </c>
      <c r="AR56" s="448">
        <f t="shared" si="22"/>
        <v>0</v>
      </c>
      <c r="AS56" s="448">
        <f t="shared" si="22"/>
        <v>0</v>
      </c>
      <c r="AT56" s="448">
        <f t="shared" si="22"/>
        <v>0</v>
      </c>
      <c r="AU56" s="448">
        <f t="shared" si="22"/>
        <v>0</v>
      </c>
      <c r="AV56" s="448">
        <f t="shared" si="22"/>
        <v>0</v>
      </c>
      <c r="AW56" s="448">
        <f t="shared" si="22"/>
        <v>0</v>
      </c>
      <c r="AX56" s="448">
        <f t="shared" si="22"/>
        <v>0</v>
      </c>
      <c r="AY56" s="449"/>
      <c r="AZ56" s="448">
        <f>SUBTOTAL(9,AZ54:AZ55)</f>
        <v>1796579</v>
      </c>
      <c r="BA56" s="450"/>
      <c r="BB56" s="451">
        <f t="shared" si="15"/>
        <v>0</v>
      </c>
    </row>
    <row r="57" spans="1:56" s="36" customFormat="1" ht="15.75" x14ac:dyDescent="0.25">
      <c r="A57" s="412" t="s">
        <v>52</v>
      </c>
      <c r="B57" s="414"/>
      <c r="C57" s="102" t="s">
        <v>373</v>
      </c>
      <c r="D57" s="102"/>
      <c r="E57" s="381"/>
      <c r="F57" s="102"/>
      <c r="G57" s="102"/>
      <c r="H57" s="102"/>
      <c r="I57" s="102"/>
      <c r="J57" s="102"/>
      <c r="K57" s="276"/>
      <c r="L57" s="276"/>
      <c r="M57" s="276"/>
      <c r="N57" s="276"/>
      <c r="O57" s="84"/>
      <c r="P57" s="102"/>
      <c r="Q57" s="102"/>
      <c r="R57" s="102"/>
      <c r="S57" s="84"/>
      <c r="T57" s="102"/>
      <c r="U57" s="102"/>
      <c r="V57" s="102"/>
      <c r="W57" s="102"/>
      <c r="X57" s="102"/>
      <c r="Y57" s="85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47"/>
      <c r="AZ57" s="85"/>
      <c r="BA57" s="51"/>
      <c r="BB57" s="359">
        <f t="shared" si="15"/>
        <v>0</v>
      </c>
    </row>
    <row r="58" spans="1:56" s="36" customFormat="1" ht="15.75" x14ac:dyDescent="0.25">
      <c r="A58" s="325" t="s">
        <v>49</v>
      </c>
      <c r="B58" s="326" t="s">
        <v>374</v>
      </c>
      <c r="C58" s="310" t="s">
        <v>373</v>
      </c>
      <c r="D58" s="310" t="s">
        <v>630</v>
      </c>
      <c r="E58" s="326" t="s">
        <v>51</v>
      </c>
      <c r="F58" s="310" t="s">
        <v>237</v>
      </c>
      <c r="G58" s="310" t="s">
        <v>370</v>
      </c>
      <c r="H58" s="430" t="s">
        <v>54</v>
      </c>
      <c r="I58" s="318" t="s">
        <v>370</v>
      </c>
      <c r="J58" s="310">
        <v>43965</v>
      </c>
      <c r="K58" s="318">
        <v>43965</v>
      </c>
      <c r="L58" s="302">
        <v>44020</v>
      </c>
      <c r="M58" s="318">
        <v>44020</v>
      </c>
      <c r="N58" s="305">
        <f t="shared" ref="N58:O60" si="23">L58-J58</f>
        <v>55</v>
      </c>
      <c r="O58" s="331">
        <f t="shared" si="23"/>
        <v>55</v>
      </c>
      <c r="P58" s="310" t="s">
        <v>370</v>
      </c>
      <c r="Q58" s="318">
        <v>44033</v>
      </c>
      <c r="R58" s="318">
        <v>44371</v>
      </c>
      <c r="S58" s="331">
        <v>11</v>
      </c>
      <c r="T58" s="311">
        <f t="shared" ref="T58:T64" si="24">((R58-Q58)/7)/4.3</f>
        <v>11.22923588039867</v>
      </c>
      <c r="U58" s="311"/>
      <c r="V58" s="311"/>
      <c r="W58" s="311" t="s">
        <v>370</v>
      </c>
      <c r="X58" s="306">
        <v>9534114</v>
      </c>
      <c r="Y58" s="115">
        <v>4251267</v>
      </c>
      <c r="Z58" s="115">
        <v>974630</v>
      </c>
      <c r="AA58" s="115">
        <v>965506</v>
      </c>
      <c r="AB58" s="115">
        <v>726926</v>
      </c>
      <c r="AC58" s="115">
        <v>1007479</v>
      </c>
      <c r="AD58" s="115">
        <v>748387</v>
      </c>
      <c r="AE58" s="115">
        <v>599421</v>
      </c>
      <c r="AF58" s="115">
        <v>93601</v>
      </c>
      <c r="AG58" s="115">
        <v>88474</v>
      </c>
      <c r="AH58" s="115">
        <v>65327.47</v>
      </c>
      <c r="AI58" s="115">
        <v>13095.53</v>
      </c>
      <c r="AJ58" s="115">
        <v>-1831.09</v>
      </c>
      <c r="AK58" s="115">
        <v>0</v>
      </c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47"/>
      <c r="AZ58" s="53">
        <f t="shared" ref="AZ58:AZ64" si="25">SUM(Y58:AY58)</f>
        <v>9532282.9100000001</v>
      </c>
      <c r="BA58" s="51"/>
      <c r="BB58" s="359">
        <f t="shared" si="15"/>
        <v>-1831.089999999851</v>
      </c>
    </row>
    <row r="59" spans="1:56" s="36" customFormat="1" ht="15.75" x14ac:dyDescent="0.25">
      <c r="A59" s="312" t="s">
        <v>55</v>
      </c>
      <c r="B59" s="313" t="s">
        <v>376</v>
      </c>
      <c r="C59" s="310" t="s">
        <v>373</v>
      </c>
      <c r="D59" s="310" t="s">
        <v>401</v>
      </c>
      <c r="E59" s="313" t="s">
        <v>57</v>
      </c>
      <c r="F59" s="310" t="s">
        <v>237</v>
      </c>
      <c r="G59" s="310" t="s">
        <v>370</v>
      </c>
      <c r="H59" s="431" t="s">
        <v>809</v>
      </c>
      <c r="I59" s="318" t="s">
        <v>370</v>
      </c>
      <c r="J59" s="310">
        <v>43998</v>
      </c>
      <c r="K59" s="318">
        <v>43998</v>
      </c>
      <c r="L59" s="302">
        <v>44005</v>
      </c>
      <c r="M59" s="318">
        <v>44005</v>
      </c>
      <c r="N59" s="305">
        <f t="shared" si="23"/>
        <v>7</v>
      </c>
      <c r="O59" s="331">
        <f t="shared" si="23"/>
        <v>7</v>
      </c>
      <c r="P59" s="310" t="s">
        <v>370</v>
      </c>
      <c r="Q59" s="318">
        <v>44124</v>
      </c>
      <c r="R59" s="318">
        <v>44392</v>
      </c>
      <c r="S59" s="331">
        <v>9</v>
      </c>
      <c r="T59" s="311">
        <f t="shared" si="24"/>
        <v>8.9036544850498345</v>
      </c>
      <c r="U59" s="311"/>
      <c r="V59" s="311"/>
      <c r="W59" s="311" t="s">
        <v>370</v>
      </c>
      <c r="X59" s="306">
        <v>1258636</v>
      </c>
      <c r="Y59" s="115">
        <v>501155</v>
      </c>
      <c r="Z59" s="115">
        <v>186495</v>
      </c>
      <c r="AA59" s="115">
        <v>202246</v>
      </c>
      <c r="AB59" s="115">
        <v>66602</v>
      </c>
      <c r="AC59" s="115">
        <v>48430</v>
      </c>
      <c r="AD59" s="115">
        <v>7649</v>
      </c>
      <c r="AE59" s="115">
        <v>118643</v>
      </c>
      <c r="AF59" s="115">
        <v>54525</v>
      </c>
      <c r="AG59" s="115">
        <v>32612</v>
      </c>
      <c r="AH59" s="115">
        <v>0</v>
      </c>
      <c r="AI59" s="115">
        <v>0</v>
      </c>
      <c r="AJ59" s="115">
        <v>632.5</v>
      </c>
      <c r="AK59" s="115">
        <v>0</v>
      </c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3"/>
      <c r="AY59" s="47"/>
      <c r="AZ59" s="53">
        <f t="shared" si="25"/>
        <v>1218989.5</v>
      </c>
      <c r="BA59" s="51"/>
      <c r="BB59" s="359">
        <f t="shared" si="15"/>
        <v>-39646.5</v>
      </c>
    </row>
    <row r="60" spans="1:56" s="36" customFormat="1" ht="15.75" x14ac:dyDescent="0.25">
      <c r="A60" s="34" t="s">
        <v>185</v>
      </c>
      <c r="B60" s="34" t="s">
        <v>622</v>
      </c>
      <c r="C60" s="52" t="s">
        <v>373</v>
      </c>
      <c r="D60" s="87" t="s">
        <v>401</v>
      </c>
      <c r="E60" s="113" t="s">
        <v>696</v>
      </c>
      <c r="F60" s="52" t="s">
        <v>46</v>
      </c>
      <c r="G60" s="52" t="s">
        <v>370</v>
      </c>
      <c r="H60" s="87" t="s">
        <v>324</v>
      </c>
      <c r="I60" s="330" t="s">
        <v>370</v>
      </c>
      <c r="J60" s="52">
        <v>44328</v>
      </c>
      <c r="K60" s="330">
        <v>44328</v>
      </c>
      <c r="L60" s="299">
        <v>44418</v>
      </c>
      <c r="M60" s="330">
        <v>44418</v>
      </c>
      <c r="N60" s="301">
        <f t="shared" si="23"/>
        <v>90</v>
      </c>
      <c r="O60" s="333">
        <f t="shared" si="23"/>
        <v>90</v>
      </c>
      <c r="P60" s="52" t="s">
        <v>370</v>
      </c>
      <c r="Q60" s="330">
        <v>44424</v>
      </c>
      <c r="R60" s="87">
        <v>44701</v>
      </c>
      <c r="S60" s="50">
        <v>9</v>
      </c>
      <c r="T60" s="50">
        <f t="shared" si="24"/>
        <v>9.2026578073089702</v>
      </c>
      <c r="U60" s="50"/>
      <c r="V60" s="50"/>
      <c r="W60" s="50" t="s">
        <v>370</v>
      </c>
      <c r="X60" s="182">
        <v>2124651</v>
      </c>
      <c r="Y60" s="115">
        <v>0</v>
      </c>
      <c r="Z60" s="115">
        <v>0</v>
      </c>
      <c r="AA60" s="115"/>
      <c r="AB60" s="115"/>
      <c r="AC60" s="115">
        <f>233134</f>
        <v>233134</v>
      </c>
      <c r="AD60" s="115">
        <v>0</v>
      </c>
      <c r="AE60" s="115">
        <v>0</v>
      </c>
      <c r="AF60" s="115">
        <v>72994</v>
      </c>
      <c r="AG60" s="115">
        <v>144486</v>
      </c>
      <c r="AH60" s="115">
        <v>174326.34</v>
      </c>
      <c r="AI60" s="115">
        <v>157369.33000000002</v>
      </c>
      <c r="AJ60" s="115">
        <v>0</v>
      </c>
      <c r="AK60" s="115">
        <v>170113.65</v>
      </c>
      <c r="AL60" s="275">
        <v>200000</v>
      </c>
      <c r="AM60" s="275">
        <v>200000</v>
      </c>
      <c r="AN60" s="275">
        <v>200000</v>
      </c>
      <c r="AO60" s="275">
        <v>200000</v>
      </c>
      <c r="AP60" s="275">
        <v>150000</v>
      </c>
      <c r="AQ60" s="275">
        <v>52341.33</v>
      </c>
      <c r="AR60" s="58"/>
      <c r="AS60" s="58"/>
      <c r="AT60" s="58"/>
      <c r="AU60" s="58"/>
      <c r="AV60" s="275">
        <v>165000</v>
      </c>
      <c r="AW60" s="58"/>
      <c r="AX60" s="53"/>
      <c r="AY60" s="47"/>
      <c r="AZ60" s="53">
        <f t="shared" si="25"/>
        <v>2119764.65</v>
      </c>
      <c r="BA60" s="51"/>
      <c r="BB60" s="359">
        <f t="shared" si="15"/>
        <v>-4886.3500000000931</v>
      </c>
      <c r="BD60" s="55"/>
    </row>
    <row r="61" spans="1:56" s="36" customFormat="1" ht="15.75" x14ac:dyDescent="0.25">
      <c r="A61" s="179" t="s">
        <v>594</v>
      </c>
      <c r="B61" s="180" t="s">
        <v>595</v>
      </c>
      <c r="C61" s="52" t="s">
        <v>373</v>
      </c>
      <c r="D61" s="52" t="s">
        <v>45</v>
      </c>
      <c r="E61" s="63"/>
      <c r="F61" s="52" t="s">
        <v>46</v>
      </c>
      <c r="G61" s="52" t="s">
        <v>370</v>
      </c>
      <c r="H61" s="426" t="s">
        <v>816</v>
      </c>
      <c r="I61" s="330" t="s">
        <v>370</v>
      </c>
      <c r="J61" s="333" t="s">
        <v>24</v>
      </c>
      <c r="K61" s="333" t="s">
        <v>24</v>
      </c>
      <c r="L61" s="333" t="s">
        <v>24</v>
      </c>
      <c r="M61" s="333" t="s">
        <v>24</v>
      </c>
      <c r="N61" s="346" t="s">
        <v>24</v>
      </c>
      <c r="O61" s="333" t="s">
        <v>24</v>
      </c>
      <c r="P61" s="52" t="s">
        <v>320</v>
      </c>
      <c r="Q61" s="52"/>
      <c r="R61" s="52"/>
      <c r="S61" s="50">
        <v>0</v>
      </c>
      <c r="T61" s="439">
        <f t="shared" si="24"/>
        <v>0</v>
      </c>
      <c r="U61" s="50"/>
      <c r="V61" s="50"/>
      <c r="W61" s="50" t="s">
        <v>370</v>
      </c>
      <c r="X61" s="53">
        <v>82107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15">
        <v>0</v>
      </c>
      <c r="AI61" s="115">
        <v>0</v>
      </c>
      <c r="AJ61" s="115">
        <v>0</v>
      </c>
      <c r="AK61" s="115">
        <v>0</v>
      </c>
      <c r="AL61" s="275">
        <v>55000</v>
      </c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3"/>
      <c r="AY61" s="47"/>
      <c r="AZ61" s="53">
        <f t="shared" si="25"/>
        <v>55000</v>
      </c>
      <c r="BA61" s="51"/>
      <c r="BB61" s="359">
        <f t="shared" si="15"/>
        <v>-27107</v>
      </c>
      <c r="BD61" s="55"/>
    </row>
    <row r="62" spans="1:56" s="36" customFormat="1" ht="15.75" x14ac:dyDescent="0.25">
      <c r="A62" s="374" t="s">
        <v>593</v>
      </c>
      <c r="B62" s="375" t="s">
        <v>774</v>
      </c>
      <c r="C62" s="52" t="s">
        <v>373</v>
      </c>
      <c r="D62" s="52" t="s">
        <v>401</v>
      </c>
      <c r="E62" s="113" t="s">
        <v>695</v>
      </c>
      <c r="F62" s="52" t="s">
        <v>46</v>
      </c>
      <c r="G62" s="52" t="s">
        <v>370</v>
      </c>
      <c r="H62" s="52" t="s">
        <v>70</v>
      </c>
      <c r="I62" s="329" t="s">
        <v>370</v>
      </c>
      <c r="J62" s="87">
        <v>44489</v>
      </c>
      <c r="K62" s="329">
        <v>44489</v>
      </c>
      <c r="L62" s="298">
        <v>44540</v>
      </c>
      <c r="M62" s="329">
        <v>44540</v>
      </c>
      <c r="N62" s="301">
        <f t="shared" ref="N62:O64" si="26">L62-J62</f>
        <v>51</v>
      </c>
      <c r="O62" s="333">
        <f t="shared" si="26"/>
        <v>51</v>
      </c>
      <c r="P62" s="52" t="s">
        <v>370</v>
      </c>
      <c r="Q62" s="377">
        <v>44552</v>
      </c>
      <c r="R62" s="52">
        <f>Q62+(9*4.3*7)</f>
        <v>44822.9</v>
      </c>
      <c r="S62" s="50">
        <v>9</v>
      </c>
      <c r="T62" s="50">
        <f t="shared" si="24"/>
        <v>9.0000000000000497</v>
      </c>
      <c r="U62" s="50"/>
      <c r="V62" s="50"/>
      <c r="W62" s="50" t="s">
        <v>370</v>
      </c>
      <c r="X62" s="53">
        <v>1325000</v>
      </c>
      <c r="Y62" s="115">
        <v>0</v>
      </c>
      <c r="Z62" s="115">
        <v>0</v>
      </c>
      <c r="AA62" s="115">
        <v>0</v>
      </c>
      <c r="AB62" s="115">
        <v>0</v>
      </c>
      <c r="AC62" s="115">
        <v>0</v>
      </c>
      <c r="AD62" s="115">
        <v>0</v>
      </c>
      <c r="AE62" s="115">
        <v>0</v>
      </c>
      <c r="AF62" s="115">
        <v>0</v>
      </c>
      <c r="AG62" s="115">
        <v>0</v>
      </c>
      <c r="AH62" s="115">
        <v>0</v>
      </c>
      <c r="AI62" s="115">
        <v>0</v>
      </c>
      <c r="AJ62" s="115">
        <v>0</v>
      </c>
      <c r="AK62" s="115">
        <v>92185.59</v>
      </c>
      <c r="AL62" s="275">
        <v>150000</v>
      </c>
      <c r="AM62" s="275">
        <v>200000</v>
      </c>
      <c r="AN62" s="275">
        <v>200000</v>
      </c>
      <c r="AO62" s="275">
        <v>225000</v>
      </c>
      <c r="AP62" s="275">
        <v>250000</v>
      </c>
      <c r="AQ62" s="275">
        <v>200000</v>
      </c>
      <c r="AR62" s="58"/>
      <c r="AS62" s="58"/>
      <c r="AT62" s="58"/>
      <c r="AU62" s="58"/>
      <c r="AV62" s="58"/>
      <c r="AW62" s="58"/>
      <c r="AX62" s="53"/>
      <c r="AY62" s="47"/>
      <c r="AZ62" s="53">
        <f t="shared" si="25"/>
        <v>1317185.5899999999</v>
      </c>
      <c r="BA62" s="51"/>
      <c r="BB62" s="359">
        <f t="shared" si="15"/>
        <v>-7814.410000000149</v>
      </c>
      <c r="BD62" s="55"/>
    </row>
    <row r="63" spans="1:56" s="36" customFormat="1" ht="15.75" x14ac:dyDescent="0.25">
      <c r="A63" s="244" t="s">
        <v>129</v>
      </c>
      <c r="B63" s="272" t="s">
        <v>130</v>
      </c>
      <c r="C63" s="52" t="s">
        <v>373</v>
      </c>
      <c r="D63" s="52" t="s">
        <v>633</v>
      </c>
      <c r="E63" s="57" t="s">
        <v>131</v>
      </c>
      <c r="F63" s="52" t="s">
        <v>46</v>
      </c>
      <c r="G63" s="52" t="s">
        <v>370</v>
      </c>
      <c r="H63" s="422" t="s">
        <v>133</v>
      </c>
      <c r="I63" s="330" t="s">
        <v>370</v>
      </c>
      <c r="J63" s="52">
        <v>43962</v>
      </c>
      <c r="K63" s="330">
        <v>43962</v>
      </c>
      <c r="L63" s="299">
        <v>44018</v>
      </c>
      <c r="M63" s="330">
        <v>44018</v>
      </c>
      <c r="N63" s="301">
        <f t="shared" si="26"/>
        <v>56</v>
      </c>
      <c r="O63" s="333">
        <f t="shared" si="26"/>
        <v>56</v>
      </c>
      <c r="P63" s="52" t="s">
        <v>370</v>
      </c>
      <c r="Q63" s="330">
        <v>44136</v>
      </c>
      <c r="R63" s="87">
        <v>44531</v>
      </c>
      <c r="S63" s="50">
        <v>13</v>
      </c>
      <c r="T63" s="50">
        <f t="shared" si="24"/>
        <v>13.122923588039868</v>
      </c>
      <c r="U63" s="50"/>
      <c r="V63" s="50"/>
      <c r="W63" s="50" t="s">
        <v>370</v>
      </c>
      <c r="X63" s="182">
        <v>1809504</v>
      </c>
      <c r="Y63" s="115">
        <v>407476</v>
      </c>
      <c r="Z63" s="115">
        <v>214131</v>
      </c>
      <c r="AA63" s="115">
        <v>74131</v>
      </c>
      <c r="AB63" s="115">
        <v>135778</v>
      </c>
      <c r="AC63" s="115">
        <v>437832</v>
      </c>
      <c r="AD63" s="115">
        <v>31174</v>
      </c>
      <c r="AE63" s="115">
        <v>82243</v>
      </c>
      <c r="AF63" s="115">
        <v>45087</v>
      </c>
      <c r="AG63" s="115">
        <v>149925</v>
      </c>
      <c r="AH63" s="115">
        <v>55587.040000000001</v>
      </c>
      <c r="AI63" s="115">
        <v>113628.69</v>
      </c>
      <c r="AJ63" s="115">
        <v>49278.8</v>
      </c>
      <c r="AK63" s="115">
        <v>13280.8</v>
      </c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47"/>
      <c r="AZ63" s="53">
        <f t="shared" si="25"/>
        <v>1809552.33</v>
      </c>
      <c r="BA63" s="51"/>
      <c r="BB63" s="359">
        <f t="shared" si="15"/>
        <v>48.330000000074506</v>
      </c>
    </row>
    <row r="64" spans="1:56" s="36" customFormat="1" ht="15.75" x14ac:dyDescent="0.25">
      <c r="A64" s="244" t="s">
        <v>139</v>
      </c>
      <c r="B64" s="272" t="s">
        <v>140</v>
      </c>
      <c r="C64" s="52" t="s">
        <v>373</v>
      </c>
      <c r="D64" s="87" t="s">
        <v>564</v>
      </c>
      <c r="E64" s="57" t="s">
        <v>141</v>
      </c>
      <c r="F64" s="87" t="s">
        <v>46</v>
      </c>
      <c r="G64" s="87" t="s">
        <v>370</v>
      </c>
      <c r="H64" s="432" t="s">
        <v>809</v>
      </c>
      <c r="I64" s="329" t="s">
        <v>370</v>
      </c>
      <c r="J64" s="87">
        <v>44104</v>
      </c>
      <c r="K64" s="329">
        <v>44104</v>
      </c>
      <c r="L64" s="298">
        <v>44194</v>
      </c>
      <c r="M64" s="329">
        <v>44194</v>
      </c>
      <c r="N64" s="301">
        <f t="shared" si="26"/>
        <v>90</v>
      </c>
      <c r="O64" s="333">
        <f t="shared" si="26"/>
        <v>90</v>
      </c>
      <c r="P64" s="52" t="s">
        <v>370</v>
      </c>
      <c r="Q64" s="330">
        <v>44224</v>
      </c>
      <c r="R64" s="87">
        <v>44501</v>
      </c>
      <c r="S64" s="50">
        <v>9</v>
      </c>
      <c r="T64" s="50">
        <f t="shared" si="24"/>
        <v>9.2026578073089702</v>
      </c>
      <c r="U64" s="50"/>
      <c r="V64" s="50"/>
      <c r="W64" s="50" t="s">
        <v>370</v>
      </c>
      <c r="X64" s="182">
        <v>1641198</v>
      </c>
      <c r="Y64" s="115">
        <v>103605</v>
      </c>
      <c r="Z64" s="115">
        <v>0</v>
      </c>
      <c r="AA64" s="115">
        <v>71204</v>
      </c>
      <c r="AB64" s="115">
        <v>158532</v>
      </c>
      <c r="AC64" s="115">
        <v>124183</v>
      </c>
      <c r="AD64" s="115">
        <f>236910+83209</f>
        <v>320119</v>
      </c>
      <c r="AE64" s="115">
        <v>192377</v>
      </c>
      <c r="AF64" s="115">
        <v>74223</v>
      </c>
      <c r="AG64" s="115">
        <v>357461</v>
      </c>
      <c r="AH64" s="115">
        <v>34466.449999999997</v>
      </c>
      <c r="AI64" s="115">
        <v>131256.06</v>
      </c>
      <c r="AJ64" s="115">
        <v>72535.740000000005</v>
      </c>
      <c r="AK64" s="115">
        <v>0</v>
      </c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47"/>
      <c r="AZ64" s="53">
        <f t="shared" si="25"/>
        <v>1639962.25</v>
      </c>
      <c r="BA64" s="51"/>
      <c r="BB64" s="359">
        <f t="shared" si="15"/>
        <v>-1235.75</v>
      </c>
    </row>
    <row r="65" spans="1:56" s="452" customFormat="1" ht="15.75" x14ac:dyDescent="0.25">
      <c r="A65" s="443"/>
      <c r="B65" s="444"/>
      <c r="C65" s="445"/>
      <c r="D65" s="445"/>
      <c r="E65" s="444"/>
      <c r="F65" s="445"/>
      <c r="G65" s="445"/>
      <c r="H65" s="446"/>
      <c r="I65" s="445"/>
      <c r="J65" s="445"/>
      <c r="K65" s="445"/>
      <c r="L65" s="445"/>
      <c r="M65" s="445"/>
      <c r="N65" s="445"/>
      <c r="O65" s="447"/>
      <c r="P65" s="445"/>
      <c r="Q65" s="445"/>
      <c r="R65" s="445"/>
      <c r="S65" s="447"/>
      <c r="T65" s="445"/>
      <c r="U65" s="447"/>
      <c r="V65" s="447"/>
      <c r="W65" s="447"/>
      <c r="X65" s="448">
        <f t="shared" ref="X65:AJ65" si="27">SUBTOTAL(9,X58:X64)</f>
        <v>17775210</v>
      </c>
      <c r="Y65" s="448">
        <f t="shared" si="27"/>
        <v>5263503</v>
      </c>
      <c r="Z65" s="448">
        <f t="shared" si="27"/>
        <v>1375256</v>
      </c>
      <c r="AA65" s="448">
        <f t="shared" si="27"/>
        <v>1313087</v>
      </c>
      <c r="AB65" s="448">
        <f t="shared" si="27"/>
        <v>1087838</v>
      </c>
      <c r="AC65" s="448">
        <f t="shared" si="27"/>
        <v>1851058</v>
      </c>
      <c r="AD65" s="448">
        <f t="shared" si="27"/>
        <v>1107329</v>
      </c>
      <c r="AE65" s="448">
        <f t="shared" si="27"/>
        <v>992684</v>
      </c>
      <c r="AF65" s="448">
        <f t="shared" si="27"/>
        <v>340430</v>
      </c>
      <c r="AG65" s="448">
        <f t="shared" si="27"/>
        <v>772958</v>
      </c>
      <c r="AH65" s="448">
        <f t="shared" si="27"/>
        <v>329707.3</v>
      </c>
      <c r="AI65" s="448">
        <f t="shared" si="27"/>
        <v>415349.61000000004</v>
      </c>
      <c r="AJ65" s="448">
        <f t="shared" si="27"/>
        <v>120615.95000000001</v>
      </c>
      <c r="AK65" s="448">
        <f t="shared" ref="AK65:AX65" si="28">SUBTOTAL(9,AK58:AK64)</f>
        <v>275580.03999999998</v>
      </c>
      <c r="AL65" s="448">
        <f t="shared" si="28"/>
        <v>405000</v>
      </c>
      <c r="AM65" s="448">
        <f t="shared" si="28"/>
        <v>400000</v>
      </c>
      <c r="AN65" s="448">
        <f t="shared" si="28"/>
        <v>400000</v>
      </c>
      <c r="AO65" s="448">
        <f t="shared" si="28"/>
        <v>425000</v>
      </c>
      <c r="AP65" s="448">
        <f t="shared" si="28"/>
        <v>400000</v>
      </c>
      <c r="AQ65" s="448">
        <f t="shared" si="28"/>
        <v>252341.33000000002</v>
      </c>
      <c r="AR65" s="448">
        <f t="shared" si="28"/>
        <v>0</v>
      </c>
      <c r="AS65" s="448">
        <f t="shared" si="28"/>
        <v>0</v>
      </c>
      <c r="AT65" s="448">
        <f t="shared" si="28"/>
        <v>0</v>
      </c>
      <c r="AU65" s="448">
        <f t="shared" si="28"/>
        <v>0</v>
      </c>
      <c r="AV65" s="448">
        <f t="shared" si="28"/>
        <v>165000</v>
      </c>
      <c r="AW65" s="448">
        <f t="shared" si="28"/>
        <v>0</v>
      </c>
      <c r="AX65" s="448">
        <f t="shared" si="28"/>
        <v>0</v>
      </c>
      <c r="AY65" s="449"/>
      <c r="AZ65" s="448">
        <f>SUBTOTAL(9,AZ58:AZ64)</f>
        <v>17692737.23</v>
      </c>
      <c r="BA65" s="450"/>
      <c r="BB65" s="451">
        <f t="shared" si="15"/>
        <v>-82472.769999999553</v>
      </c>
      <c r="BD65" s="453"/>
    </row>
    <row r="66" spans="1:56" s="36" customFormat="1" ht="15.75" x14ac:dyDescent="0.25">
      <c r="A66" s="381" t="s">
        <v>571</v>
      </c>
      <c r="B66" s="106"/>
      <c r="C66" s="102" t="s">
        <v>563</v>
      </c>
      <c r="D66" s="102"/>
      <c r="E66" s="106"/>
      <c r="F66" s="102"/>
      <c r="G66" s="102"/>
      <c r="H66" s="420"/>
      <c r="I66" s="102"/>
      <c r="J66" s="102"/>
      <c r="K66" s="276"/>
      <c r="L66" s="276"/>
      <c r="M66" s="276"/>
      <c r="N66" s="276"/>
      <c r="O66" s="84"/>
      <c r="P66" s="102"/>
      <c r="Q66" s="102"/>
      <c r="R66" s="102"/>
      <c r="S66" s="84"/>
      <c r="T66" s="102"/>
      <c r="U66" s="102"/>
      <c r="V66" s="102"/>
      <c r="W66" s="102"/>
      <c r="X66" s="102"/>
      <c r="Y66" s="85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47"/>
      <c r="AZ66" s="85"/>
      <c r="BA66" s="51"/>
      <c r="BB66" s="359">
        <f t="shared" si="15"/>
        <v>0</v>
      </c>
      <c r="BD66" s="55"/>
    </row>
    <row r="67" spans="1:56" s="36" customFormat="1" ht="15.75" x14ac:dyDescent="0.25">
      <c r="A67" s="34" t="s">
        <v>60</v>
      </c>
      <c r="B67" s="35" t="s">
        <v>377</v>
      </c>
      <c r="C67" s="52" t="s">
        <v>563</v>
      </c>
      <c r="D67" s="52" t="s">
        <v>631</v>
      </c>
      <c r="E67" s="35" t="s">
        <v>62</v>
      </c>
      <c r="F67" s="52" t="s">
        <v>46</v>
      </c>
      <c r="G67" s="52" t="s">
        <v>370</v>
      </c>
      <c r="H67" s="422" t="s">
        <v>64</v>
      </c>
      <c r="I67" s="330" t="s">
        <v>370</v>
      </c>
      <c r="J67" s="52">
        <v>44054</v>
      </c>
      <c r="K67" s="330">
        <v>44054</v>
      </c>
      <c r="L67" s="299">
        <v>44147</v>
      </c>
      <c r="M67" s="330">
        <v>44147</v>
      </c>
      <c r="N67" s="344">
        <f>L67-J67</f>
        <v>93</v>
      </c>
      <c r="O67" s="333">
        <f>M67-K67</f>
        <v>93</v>
      </c>
      <c r="P67" s="52" t="s">
        <v>370</v>
      </c>
      <c r="Q67" s="329">
        <v>44119</v>
      </c>
      <c r="R67" s="87">
        <v>44531</v>
      </c>
      <c r="S67" s="88">
        <v>14</v>
      </c>
      <c r="T67" s="88">
        <f>((R67-Q67)/7)/4.3</f>
        <v>13.687707641196013</v>
      </c>
      <c r="U67" s="88"/>
      <c r="V67" s="88"/>
      <c r="W67" s="88" t="s">
        <v>370</v>
      </c>
      <c r="X67" s="181">
        <v>13107911</v>
      </c>
      <c r="Y67" s="115">
        <v>802663</v>
      </c>
      <c r="Z67" s="115">
        <v>1051823</v>
      </c>
      <c r="AA67" s="115">
        <v>822272</v>
      </c>
      <c r="AB67" s="115">
        <v>1170091</v>
      </c>
      <c r="AC67" s="115">
        <v>1068761</v>
      </c>
      <c r="AD67" s="115">
        <v>823660</v>
      </c>
      <c r="AE67" s="115">
        <v>1536928</v>
      </c>
      <c r="AF67" s="115">
        <v>1558003</v>
      </c>
      <c r="AG67" s="115">
        <v>1521211</v>
      </c>
      <c r="AH67" s="115">
        <v>1384616.45</v>
      </c>
      <c r="AI67" s="115">
        <v>896696.76</v>
      </c>
      <c r="AJ67" s="115">
        <v>358271.54</v>
      </c>
      <c r="AK67" s="457">
        <v>418400.69</v>
      </c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3"/>
      <c r="AY67" s="47"/>
      <c r="AZ67" s="53">
        <f>SUM(Y67:AY67)</f>
        <v>13413397.439999998</v>
      </c>
      <c r="BA67" s="51"/>
      <c r="BB67" s="359">
        <f t="shared" si="15"/>
        <v>305486.43999999762</v>
      </c>
    </row>
    <row r="68" spans="1:56" s="452" customFormat="1" ht="15.75" x14ac:dyDescent="0.25">
      <c r="A68" s="443"/>
      <c r="B68" s="444"/>
      <c r="C68" s="445"/>
      <c r="D68" s="445"/>
      <c r="E68" s="444"/>
      <c r="F68" s="445"/>
      <c r="G68" s="445"/>
      <c r="H68" s="446"/>
      <c r="I68" s="445"/>
      <c r="J68" s="445"/>
      <c r="K68" s="445"/>
      <c r="L68" s="445"/>
      <c r="M68" s="445"/>
      <c r="N68" s="445"/>
      <c r="O68" s="447"/>
      <c r="P68" s="445"/>
      <c r="Q68" s="445"/>
      <c r="R68" s="445"/>
      <c r="S68" s="447"/>
      <c r="T68" s="445"/>
      <c r="U68" s="447"/>
      <c r="V68" s="447"/>
      <c r="W68" s="447"/>
      <c r="X68" s="59">
        <f t="shared" ref="X68:AX68" si="29">SUBTOTAL(9,X67)</f>
        <v>13107911</v>
      </c>
      <c r="Y68" s="59">
        <f t="shared" si="29"/>
        <v>802663</v>
      </c>
      <c r="Z68" s="59">
        <f t="shared" si="29"/>
        <v>1051823</v>
      </c>
      <c r="AA68" s="59">
        <f t="shared" si="29"/>
        <v>822272</v>
      </c>
      <c r="AB68" s="59">
        <f t="shared" si="29"/>
        <v>1170091</v>
      </c>
      <c r="AC68" s="59">
        <f t="shared" si="29"/>
        <v>1068761</v>
      </c>
      <c r="AD68" s="59">
        <f t="shared" si="29"/>
        <v>823660</v>
      </c>
      <c r="AE68" s="59">
        <f t="shared" si="29"/>
        <v>1536928</v>
      </c>
      <c r="AF68" s="59">
        <f t="shared" si="29"/>
        <v>1558003</v>
      </c>
      <c r="AG68" s="59">
        <f t="shared" si="29"/>
        <v>1521211</v>
      </c>
      <c r="AH68" s="59">
        <f t="shared" si="29"/>
        <v>1384616.45</v>
      </c>
      <c r="AI68" s="59">
        <f t="shared" si="29"/>
        <v>896696.76</v>
      </c>
      <c r="AJ68" s="59">
        <f t="shared" si="29"/>
        <v>358271.54</v>
      </c>
      <c r="AK68" s="59">
        <f t="shared" si="29"/>
        <v>418400.69</v>
      </c>
      <c r="AL68" s="59">
        <f t="shared" si="29"/>
        <v>0</v>
      </c>
      <c r="AM68" s="59">
        <f t="shared" si="29"/>
        <v>0</v>
      </c>
      <c r="AN68" s="59">
        <f t="shared" si="29"/>
        <v>0</v>
      </c>
      <c r="AO68" s="59">
        <f t="shared" si="29"/>
        <v>0</v>
      </c>
      <c r="AP68" s="59">
        <f t="shared" si="29"/>
        <v>0</v>
      </c>
      <c r="AQ68" s="59">
        <f t="shared" si="29"/>
        <v>0</v>
      </c>
      <c r="AR68" s="59">
        <f t="shared" si="29"/>
        <v>0</v>
      </c>
      <c r="AS68" s="59">
        <f t="shared" si="29"/>
        <v>0</v>
      </c>
      <c r="AT68" s="59">
        <f t="shared" si="29"/>
        <v>0</v>
      </c>
      <c r="AU68" s="59">
        <f t="shared" si="29"/>
        <v>0</v>
      </c>
      <c r="AV68" s="59">
        <f t="shared" si="29"/>
        <v>0</v>
      </c>
      <c r="AW68" s="59">
        <f t="shared" si="29"/>
        <v>0</v>
      </c>
      <c r="AX68" s="59">
        <f t="shared" si="29"/>
        <v>0</v>
      </c>
      <c r="AY68" s="449"/>
      <c r="AZ68" s="59">
        <f>SUBTOTAL(9,AZ67)</f>
        <v>13413397.439999998</v>
      </c>
      <c r="BA68" s="450"/>
      <c r="BB68" s="451">
        <f t="shared" si="15"/>
        <v>305486.43999999762</v>
      </c>
    </row>
    <row r="69" spans="1:56" s="36" customFormat="1" ht="15.75" x14ac:dyDescent="0.25">
      <c r="A69" s="381" t="s">
        <v>517</v>
      </c>
      <c r="B69" s="106"/>
      <c r="C69" s="102" t="s">
        <v>563</v>
      </c>
      <c r="D69" s="102"/>
      <c r="E69" s="106"/>
      <c r="F69" s="102"/>
      <c r="G69" s="102"/>
      <c r="H69" s="420"/>
      <c r="I69" s="102"/>
      <c r="J69" s="102"/>
      <c r="K69" s="276"/>
      <c r="L69" s="276"/>
      <c r="M69" s="276"/>
      <c r="N69" s="276"/>
      <c r="O69" s="84"/>
      <c r="P69" s="102"/>
      <c r="Q69" s="102"/>
      <c r="R69" s="102"/>
      <c r="S69" s="84"/>
      <c r="T69" s="102"/>
      <c r="U69" s="102"/>
      <c r="V69" s="102"/>
      <c r="W69" s="102"/>
      <c r="X69" s="102"/>
      <c r="Y69" s="85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47"/>
      <c r="AZ69" s="85"/>
      <c r="BA69" s="51"/>
      <c r="BB69" s="359">
        <f t="shared" si="15"/>
        <v>0</v>
      </c>
    </row>
    <row r="70" spans="1:56" s="36" customFormat="1" ht="15.75" x14ac:dyDescent="0.25">
      <c r="A70" s="312" t="s">
        <v>634</v>
      </c>
      <c r="B70" s="313" t="s">
        <v>576</v>
      </c>
      <c r="C70" s="310" t="s">
        <v>563</v>
      </c>
      <c r="D70" s="310" t="s">
        <v>708</v>
      </c>
      <c r="E70" s="313" t="s">
        <v>685</v>
      </c>
      <c r="F70" s="310" t="s">
        <v>237</v>
      </c>
      <c r="G70" s="310" t="s">
        <v>370</v>
      </c>
      <c r="H70" s="431" t="s">
        <v>817</v>
      </c>
      <c r="I70" s="318" t="s">
        <v>370</v>
      </c>
      <c r="J70" s="318" t="s">
        <v>24</v>
      </c>
      <c r="K70" s="318" t="s">
        <v>24</v>
      </c>
      <c r="L70" s="318" t="s">
        <v>24</v>
      </c>
      <c r="M70" s="318" t="s">
        <v>24</v>
      </c>
      <c r="N70" s="318" t="s">
        <v>24</v>
      </c>
      <c r="O70" s="318" t="s">
        <v>24</v>
      </c>
      <c r="P70" s="318" t="s">
        <v>24</v>
      </c>
      <c r="Q70" s="318">
        <v>44382</v>
      </c>
      <c r="R70" s="318">
        <v>44428</v>
      </c>
      <c r="S70" s="331">
        <v>2</v>
      </c>
      <c r="T70" s="311">
        <f t="shared" ref="T70:T83" si="30">((R70-Q70)/7)/4.3</f>
        <v>1.5282392026578073</v>
      </c>
      <c r="U70" s="311"/>
      <c r="V70" s="311"/>
      <c r="W70" s="311" t="s">
        <v>370</v>
      </c>
      <c r="X70" s="306">
        <v>89125</v>
      </c>
      <c r="Y70" s="115">
        <v>0</v>
      </c>
      <c r="Z70" s="115">
        <v>0</v>
      </c>
      <c r="AA70" s="115">
        <v>0</v>
      </c>
      <c r="AB70" s="115">
        <v>0</v>
      </c>
      <c r="AC70" s="115">
        <v>0</v>
      </c>
      <c r="AD70" s="115">
        <v>0</v>
      </c>
      <c r="AE70" s="115">
        <v>0</v>
      </c>
      <c r="AF70" s="115">
        <v>0</v>
      </c>
      <c r="AG70" s="115">
        <v>28797</v>
      </c>
      <c r="AH70" s="115">
        <v>8473.4</v>
      </c>
      <c r="AI70" s="115">
        <v>0</v>
      </c>
      <c r="AJ70" s="115">
        <v>0</v>
      </c>
      <c r="AK70" s="115">
        <v>0</v>
      </c>
      <c r="AL70" s="275">
        <v>51854.600000000006</v>
      </c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3"/>
      <c r="AY70" s="47"/>
      <c r="AZ70" s="53">
        <f t="shared" ref="AZ70:AZ83" si="31">SUM(Y70:AY70)</f>
        <v>89125</v>
      </c>
      <c r="BA70" s="51"/>
      <c r="BB70" s="359">
        <f t="shared" si="15"/>
        <v>0</v>
      </c>
      <c r="BD70" s="55"/>
    </row>
    <row r="71" spans="1:56" s="36" customFormat="1" ht="15.75" x14ac:dyDescent="0.25">
      <c r="A71" s="312" t="s">
        <v>635</v>
      </c>
      <c r="B71" s="313" t="s">
        <v>577</v>
      </c>
      <c r="C71" s="310" t="s">
        <v>563</v>
      </c>
      <c r="D71" s="310" t="s">
        <v>708</v>
      </c>
      <c r="E71" s="313" t="s">
        <v>686</v>
      </c>
      <c r="F71" s="310" t="s">
        <v>237</v>
      </c>
      <c r="G71" s="310" t="s">
        <v>370</v>
      </c>
      <c r="H71" s="431" t="s">
        <v>817</v>
      </c>
      <c r="I71" s="318" t="s">
        <v>370</v>
      </c>
      <c r="J71" s="318" t="s">
        <v>24</v>
      </c>
      <c r="K71" s="318" t="s">
        <v>24</v>
      </c>
      <c r="L71" s="318" t="s">
        <v>24</v>
      </c>
      <c r="M71" s="318" t="s">
        <v>24</v>
      </c>
      <c r="N71" s="318" t="s">
        <v>24</v>
      </c>
      <c r="O71" s="318" t="s">
        <v>24</v>
      </c>
      <c r="P71" s="318" t="s">
        <v>24</v>
      </c>
      <c r="Q71" s="318">
        <v>44382</v>
      </c>
      <c r="R71" s="318">
        <v>44428</v>
      </c>
      <c r="S71" s="331">
        <v>2</v>
      </c>
      <c r="T71" s="311">
        <f t="shared" si="30"/>
        <v>1.5282392026578073</v>
      </c>
      <c r="U71" s="311"/>
      <c r="V71" s="311"/>
      <c r="W71" s="311" t="s">
        <v>370</v>
      </c>
      <c r="X71" s="306">
        <v>75650</v>
      </c>
      <c r="Y71" s="115">
        <v>0</v>
      </c>
      <c r="Z71" s="115">
        <v>0</v>
      </c>
      <c r="AA71" s="115">
        <v>0</v>
      </c>
      <c r="AB71" s="115">
        <v>0</v>
      </c>
      <c r="AC71" s="115">
        <v>0</v>
      </c>
      <c r="AD71" s="115">
        <v>0</v>
      </c>
      <c r="AE71" s="115">
        <v>0</v>
      </c>
      <c r="AF71" s="115">
        <v>0</v>
      </c>
      <c r="AG71" s="115">
        <v>24902</v>
      </c>
      <c r="AH71" s="115">
        <v>5295.49</v>
      </c>
      <c r="AI71" s="115">
        <v>0</v>
      </c>
      <c r="AJ71" s="115">
        <v>0</v>
      </c>
      <c r="AK71" s="115">
        <v>0</v>
      </c>
      <c r="AL71" s="275">
        <v>45452.510000000009</v>
      </c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3"/>
      <c r="AY71" s="47"/>
      <c r="AZ71" s="53">
        <f t="shared" si="31"/>
        <v>75650</v>
      </c>
      <c r="BA71" s="51"/>
      <c r="BB71" s="359">
        <f t="shared" si="15"/>
        <v>0</v>
      </c>
      <c r="BD71" s="55"/>
    </row>
    <row r="72" spans="1:56" s="36" customFormat="1" ht="15.75" x14ac:dyDescent="0.25">
      <c r="A72" s="312" t="s">
        <v>215</v>
      </c>
      <c r="B72" s="313" t="s">
        <v>674</v>
      </c>
      <c r="C72" s="310" t="s">
        <v>563</v>
      </c>
      <c r="D72" s="310" t="s">
        <v>708</v>
      </c>
      <c r="E72" s="313" t="s">
        <v>636</v>
      </c>
      <c r="F72" s="310" t="s">
        <v>237</v>
      </c>
      <c r="G72" s="310" t="s">
        <v>370</v>
      </c>
      <c r="H72" s="431" t="s">
        <v>818</v>
      </c>
      <c r="I72" s="318" t="s">
        <v>370</v>
      </c>
      <c r="J72" s="302">
        <v>44299</v>
      </c>
      <c r="K72" s="318">
        <v>44299</v>
      </c>
      <c r="L72" s="302">
        <v>44313</v>
      </c>
      <c r="M72" s="318">
        <v>44313</v>
      </c>
      <c r="N72" s="305">
        <f t="shared" ref="N72:O74" si="32">L72-J72</f>
        <v>14</v>
      </c>
      <c r="O72" s="331">
        <f t="shared" si="32"/>
        <v>14</v>
      </c>
      <c r="P72" s="310" t="s">
        <v>370</v>
      </c>
      <c r="Q72" s="318">
        <v>44333</v>
      </c>
      <c r="R72" s="318">
        <v>44356</v>
      </c>
      <c r="S72" s="311">
        <v>1</v>
      </c>
      <c r="T72" s="311">
        <f t="shared" si="30"/>
        <v>0.76411960132890366</v>
      </c>
      <c r="U72" s="311"/>
      <c r="V72" s="311"/>
      <c r="W72" s="311" t="s">
        <v>370</v>
      </c>
      <c r="X72" s="306">
        <v>67027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67027</v>
      </c>
      <c r="AF72" s="115">
        <v>0</v>
      </c>
      <c r="AG72" s="115">
        <v>0</v>
      </c>
      <c r="AH72" s="115">
        <v>0</v>
      </c>
      <c r="AI72" s="115">
        <v>0</v>
      </c>
      <c r="AJ72" s="115">
        <v>3185.48</v>
      </c>
      <c r="AK72" s="115">
        <v>0</v>
      </c>
      <c r="AL72" s="53"/>
      <c r="AM72" s="53"/>
      <c r="AN72" s="53"/>
      <c r="AO72" s="58"/>
      <c r="AP72" s="58"/>
      <c r="AQ72" s="58"/>
      <c r="AR72" s="58"/>
      <c r="AS72" s="58"/>
      <c r="AT72" s="58"/>
      <c r="AU72" s="58"/>
      <c r="AV72" s="58"/>
      <c r="AW72" s="58"/>
      <c r="AX72" s="53"/>
      <c r="AY72" s="47"/>
      <c r="AZ72" s="53">
        <f t="shared" si="31"/>
        <v>70212.479999999996</v>
      </c>
      <c r="BA72" s="51"/>
      <c r="BB72" s="359">
        <f t="shared" si="15"/>
        <v>3185.4799999999959</v>
      </c>
    </row>
    <row r="73" spans="1:56" s="36" customFormat="1" ht="15.75" x14ac:dyDescent="0.25">
      <c r="A73" s="34" t="s">
        <v>560</v>
      </c>
      <c r="B73" s="114" t="s">
        <v>637</v>
      </c>
      <c r="C73" s="52" t="s">
        <v>563</v>
      </c>
      <c r="D73" s="52" t="s">
        <v>708</v>
      </c>
      <c r="E73" s="35" t="s">
        <v>638</v>
      </c>
      <c r="F73" s="52" t="s">
        <v>46</v>
      </c>
      <c r="G73" s="52" t="s">
        <v>370</v>
      </c>
      <c r="H73" s="422" t="s">
        <v>253</v>
      </c>
      <c r="I73" s="330" t="s">
        <v>370</v>
      </c>
      <c r="J73" s="299">
        <v>44369</v>
      </c>
      <c r="K73" s="330">
        <v>44369</v>
      </c>
      <c r="L73" s="299">
        <v>44389</v>
      </c>
      <c r="M73" s="330">
        <v>44389</v>
      </c>
      <c r="N73" s="344">
        <f t="shared" si="32"/>
        <v>20</v>
      </c>
      <c r="O73" s="333">
        <f t="shared" si="32"/>
        <v>20</v>
      </c>
      <c r="P73" s="52" t="s">
        <v>370</v>
      </c>
      <c r="Q73" s="330">
        <v>44382</v>
      </c>
      <c r="R73" s="329">
        <v>44470</v>
      </c>
      <c r="S73" s="50">
        <v>3</v>
      </c>
      <c r="T73" s="50">
        <f t="shared" si="30"/>
        <v>2.9235880398671097</v>
      </c>
      <c r="U73" s="50"/>
      <c r="V73" s="50"/>
      <c r="W73" s="50" t="s">
        <v>370</v>
      </c>
      <c r="X73" s="182">
        <v>38040</v>
      </c>
      <c r="Y73" s="115">
        <v>0</v>
      </c>
      <c r="Z73" s="115">
        <v>0</v>
      </c>
      <c r="AA73" s="115">
        <v>0</v>
      </c>
      <c r="AB73" s="115">
        <v>0</v>
      </c>
      <c r="AC73" s="115">
        <v>0</v>
      </c>
      <c r="AD73" s="115">
        <v>0</v>
      </c>
      <c r="AE73" s="115">
        <v>0</v>
      </c>
      <c r="AF73" s="115">
        <v>0</v>
      </c>
      <c r="AG73" s="115">
        <v>38040</v>
      </c>
      <c r="AH73" s="115">
        <v>0</v>
      </c>
      <c r="AI73" s="115">
        <v>0</v>
      </c>
      <c r="AJ73" s="115">
        <v>0</v>
      </c>
      <c r="AK73" s="115">
        <v>0</v>
      </c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3"/>
      <c r="AY73" s="47"/>
      <c r="AZ73" s="53">
        <f t="shared" si="31"/>
        <v>38040</v>
      </c>
      <c r="BA73" s="51"/>
      <c r="BB73" s="359">
        <f t="shared" si="15"/>
        <v>0</v>
      </c>
      <c r="BD73" s="55"/>
    </row>
    <row r="74" spans="1:56" s="36" customFormat="1" ht="15.75" x14ac:dyDescent="0.25">
      <c r="A74" s="312" t="s">
        <v>556</v>
      </c>
      <c r="B74" s="313" t="s">
        <v>672</v>
      </c>
      <c r="C74" s="310" t="s">
        <v>563</v>
      </c>
      <c r="D74" s="310" t="s">
        <v>708</v>
      </c>
      <c r="E74" s="313" t="s">
        <v>640</v>
      </c>
      <c r="F74" s="310" t="s">
        <v>237</v>
      </c>
      <c r="G74" s="310" t="s">
        <v>370</v>
      </c>
      <c r="H74" s="431" t="s">
        <v>819</v>
      </c>
      <c r="I74" s="318" t="s">
        <v>370</v>
      </c>
      <c r="J74" s="302">
        <v>44330</v>
      </c>
      <c r="K74" s="318">
        <v>44330</v>
      </c>
      <c r="L74" s="302">
        <v>44362</v>
      </c>
      <c r="M74" s="318">
        <v>44362</v>
      </c>
      <c r="N74" s="305">
        <f t="shared" si="32"/>
        <v>32</v>
      </c>
      <c r="O74" s="331">
        <f t="shared" si="32"/>
        <v>32</v>
      </c>
      <c r="P74" s="310" t="s">
        <v>370</v>
      </c>
      <c r="Q74" s="318">
        <v>44368</v>
      </c>
      <c r="R74" s="318">
        <v>44425</v>
      </c>
      <c r="S74" s="331">
        <v>2</v>
      </c>
      <c r="T74" s="311">
        <f t="shared" si="30"/>
        <v>1.893687707641196</v>
      </c>
      <c r="U74" s="311"/>
      <c r="V74" s="311"/>
      <c r="W74" s="311" t="s">
        <v>370</v>
      </c>
      <c r="X74" s="306">
        <v>74344</v>
      </c>
      <c r="Y74" s="115">
        <v>0</v>
      </c>
      <c r="Z74" s="115">
        <v>0</v>
      </c>
      <c r="AA74" s="115">
        <v>0</v>
      </c>
      <c r="AB74" s="115">
        <v>0</v>
      </c>
      <c r="AC74" s="115">
        <v>0</v>
      </c>
      <c r="AD74" s="115">
        <v>0</v>
      </c>
      <c r="AE74" s="115">
        <v>0</v>
      </c>
      <c r="AF74" s="115">
        <v>0</v>
      </c>
      <c r="AG74" s="115">
        <v>74344</v>
      </c>
      <c r="AH74" s="115">
        <v>0</v>
      </c>
      <c r="AI74" s="115">
        <v>0</v>
      </c>
      <c r="AJ74" s="115">
        <v>0</v>
      </c>
      <c r="AK74" s="115">
        <v>0</v>
      </c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3"/>
      <c r="AY74" s="47"/>
      <c r="AZ74" s="53">
        <f t="shared" si="31"/>
        <v>74344</v>
      </c>
      <c r="BA74" s="51"/>
      <c r="BB74" s="359">
        <f t="shared" ref="BB74:BB107" si="33">AZ74-X74</f>
        <v>0</v>
      </c>
      <c r="BD74" s="55"/>
    </row>
    <row r="75" spans="1:56" s="36" customFormat="1" ht="15.75" x14ac:dyDescent="0.25">
      <c r="A75" s="312" t="s">
        <v>554</v>
      </c>
      <c r="B75" s="313" t="s">
        <v>673</v>
      </c>
      <c r="C75" s="310" t="s">
        <v>563</v>
      </c>
      <c r="D75" s="310" t="s">
        <v>708</v>
      </c>
      <c r="E75" s="313" t="s">
        <v>639</v>
      </c>
      <c r="F75" s="310" t="s">
        <v>237</v>
      </c>
      <c r="G75" s="310" t="s">
        <v>370</v>
      </c>
      <c r="H75" s="431" t="s">
        <v>819</v>
      </c>
      <c r="I75" s="318" t="s">
        <v>370</v>
      </c>
      <c r="J75" s="331" t="s">
        <v>24</v>
      </c>
      <c r="K75" s="331" t="s">
        <v>24</v>
      </c>
      <c r="L75" s="331" t="s">
        <v>24</v>
      </c>
      <c r="M75" s="331" t="s">
        <v>24</v>
      </c>
      <c r="N75" s="331" t="s">
        <v>24</v>
      </c>
      <c r="O75" s="331" t="s">
        <v>24</v>
      </c>
      <c r="P75" s="318" t="s">
        <v>24</v>
      </c>
      <c r="Q75" s="318">
        <v>44358</v>
      </c>
      <c r="R75" s="318">
        <v>44379</v>
      </c>
      <c r="S75" s="311">
        <v>1</v>
      </c>
      <c r="T75" s="311">
        <f t="shared" si="30"/>
        <v>0.69767441860465118</v>
      </c>
      <c r="U75" s="311"/>
      <c r="V75" s="311"/>
      <c r="W75" s="311" t="s">
        <v>370</v>
      </c>
      <c r="X75" s="306">
        <v>6336</v>
      </c>
      <c r="Y75" s="115">
        <v>0</v>
      </c>
      <c r="Z75" s="115">
        <v>0</v>
      </c>
      <c r="AA75" s="115">
        <v>0</v>
      </c>
      <c r="AB75" s="115">
        <v>0</v>
      </c>
      <c r="AC75" s="115">
        <v>0</v>
      </c>
      <c r="AD75" s="115">
        <v>0</v>
      </c>
      <c r="AE75" s="115">
        <v>0</v>
      </c>
      <c r="AF75" s="115">
        <v>0</v>
      </c>
      <c r="AG75" s="115">
        <v>6336</v>
      </c>
      <c r="AH75" s="115">
        <v>0</v>
      </c>
      <c r="AI75" s="115">
        <v>0</v>
      </c>
      <c r="AJ75" s="115">
        <v>0</v>
      </c>
      <c r="AK75" s="115">
        <v>0</v>
      </c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3"/>
      <c r="AY75" s="47"/>
      <c r="AZ75" s="53">
        <f t="shared" si="31"/>
        <v>6336</v>
      </c>
      <c r="BA75" s="51"/>
      <c r="BB75" s="359">
        <f t="shared" si="33"/>
        <v>0</v>
      </c>
      <c r="BD75" s="55"/>
    </row>
    <row r="76" spans="1:56" s="36" customFormat="1" ht="15.75" x14ac:dyDescent="0.25">
      <c r="A76" s="312" t="s">
        <v>113</v>
      </c>
      <c r="B76" s="313" t="s">
        <v>114</v>
      </c>
      <c r="C76" s="310" t="s">
        <v>563</v>
      </c>
      <c r="D76" s="310" t="s">
        <v>708</v>
      </c>
      <c r="E76" s="313" t="s">
        <v>687</v>
      </c>
      <c r="F76" s="310" t="s">
        <v>237</v>
      </c>
      <c r="G76" s="310" t="s">
        <v>370</v>
      </c>
      <c r="H76" s="431" t="s">
        <v>466</v>
      </c>
      <c r="I76" s="318" t="s">
        <v>370</v>
      </c>
      <c r="J76" s="331" t="s">
        <v>24</v>
      </c>
      <c r="K76" s="331" t="s">
        <v>24</v>
      </c>
      <c r="L76" s="331" t="s">
        <v>24</v>
      </c>
      <c r="M76" s="331" t="s">
        <v>24</v>
      </c>
      <c r="N76" s="331" t="s">
        <v>24</v>
      </c>
      <c r="O76" s="331" t="s">
        <v>24</v>
      </c>
      <c r="P76" s="310" t="s">
        <v>370</v>
      </c>
      <c r="Q76" s="318">
        <v>44256</v>
      </c>
      <c r="R76" s="318">
        <v>44347</v>
      </c>
      <c r="S76" s="331">
        <v>3</v>
      </c>
      <c r="T76" s="311">
        <f t="shared" si="30"/>
        <v>3.0232558139534884</v>
      </c>
      <c r="U76" s="311"/>
      <c r="V76" s="311"/>
      <c r="W76" s="311" t="s">
        <v>370</v>
      </c>
      <c r="X76" s="306">
        <v>52095</v>
      </c>
      <c r="Y76" s="115">
        <v>0</v>
      </c>
      <c r="Z76" s="115">
        <v>0</v>
      </c>
      <c r="AA76" s="115">
        <v>0</v>
      </c>
      <c r="AB76" s="115">
        <v>0</v>
      </c>
      <c r="AC76" s="115">
        <v>0</v>
      </c>
      <c r="AD76" s="115">
        <v>0</v>
      </c>
      <c r="AE76" s="115">
        <v>52095</v>
      </c>
      <c r="AF76" s="115">
        <v>0</v>
      </c>
      <c r="AG76" s="115">
        <v>0</v>
      </c>
      <c r="AH76" s="115">
        <v>0</v>
      </c>
      <c r="AI76" s="115">
        <v>0</v>
      </c>
      <c r="AJ76" s="115">
        <v>10962.16</v>
      </c>
      <c r="AK76" s="115">
        <v>0</v>
      </c>
      <c r="AL76" s="53">
        <v>0</v>
      </c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3"/>
      <c r="AY76" s="47"/>
      <c r="AZ76" s="53">
        <f t="shared" si="31"/>
        <v>63057.16</v>
      </c>
      <c r="BA76" s="51"/>
      <c r="BB76" s="359">
        <f t="shared" si="33"/>
        <v>10962.160000000003</v>
      </c>
      <c r="BD76" s="55"/>
    </row>
    <row r="77" spans="1:56" s="36" customFormat="1" ht="15.75" x14ac:dyDescent="0.25">
      <c r="A77" s="312" t="s">
        <v>199</v>
      </c>
      <c r="B77" s="313" t="s">
        <v>675</v>
      </c>
      <c r="C77" s="310" t="s">
        <v>563</v>
      </c>
      <c r="D77" s="310" t="s">
        <v>708</v>
      </c>
      <c r="E77" s="313" t="s">
        <v>688</v>
      </c>
      <c r="F77" s="310" t="s">
        <v>237</v>
      </c>
      <c r="G77" s="310" t="s">
        <v>370</v>
      </c>
      <c r="H77" s="431" t="s">
        <v>236</v>
      </c>
      <c r="I77" s="318" t="s">
        <v>370</v>
      </c>
      <c r="J77" s="302">
        <v>44277</v>
      </c>
      <c r="K77" s="318">
        <v>44277</v>
      </c>
      <c r="L77" s="302">
        <v>44302</v>
      </c>
      <c r="M77" s="318">
        <v>44302</v>
      </c>
      <c r="N77" s="305">
        <f t="shared" ref="N77:N85" si="34">L77-J77</f>
        <v>25</v>
      </c>
      <c r="O77" s="331">
        <f t="shared" ref="O77:O83" si="35">M77-K77</f>
        <v>25</v>
      </c>
      <c r="P77" s="310" t="s">
        <v>370</v>
      </c>
      <c r="Q77" s="318">
        <v>44340</v>
      </c>
      <c r="R77" s="318">
        <v>44419</v>
      </c>
      <c r="S77" s="331">
        <v>3</v>
      </c>
      <c r="T77" s="311">
        <f t="shared" si="30"/>
        <v>2.6245847176079735</v>
      </c>
      <c r="U77" s="311"/>
      <c r="V77" s="311"/>
      <c r="W77" s="311" t="s">
        <v>370</v>
      </c>
      <c r="X77" s="306">
        <v>156692</v>
      </c>
      <c r="Y77" s="115">
        <v>0</v>
      </c>
      <c r="Z77" s="115">
        <v>0</v>
      </c>
      <c r="AA77" s="115">
        <v>0</v>
      </c>
      <c r="AB77" s="115">
        <v>0</v>
      </c>
      <c r="AC77" s="115">
        <v>0</v>
      </c>
      <c r="AD77" s="115">
        <v>0</v>
      </c>
      <c r="AE77" s="115">
        <v>0</v>
      </c>
      <c r="AF77" s="115">
        <v>156692</v>
      </c>
      <c r="AG77" s="115">
        <v>0</v>
      </c>
      <c r="AH77" s="115">
        <v>0</v>
      </c>
      <c r="AI77" s="115">
        <v>0</v>
      </c>
      <c r="AJ77" s="115">
        <v>5333.82</v>
      </c>
      <c r="AK77" s="115">
        <v>0</v>
      </c>
      <c r="AL77" s="53">
        <v>0</v>
      </c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3"/>
      <c r="AY77" s="47"/>
      <c r="AZ77" s="53">
        <f t="shared" si="31"/>
        <v>162025.82</v>
      </c>
      <c r="BA77" s="51"/>
      <c r="BB77" s="359">
        <f t="shared" si="33"/>
        <v>5333.820000000007</v>
      </c>
      <c r="BD77" s="55"/>
    </row>
    <row r="78" spans="1:56" s="36" customFormat="1" ht="15.75" x14ac:dyDescent="0.25">
      <c r="A78" s="312" t="s">
        <v>201</v>
      </c>
      <c r="B78" s="313" t="s">
        <v>676</v>
      </c>
      <c r="C78" s="310" t="s">
        <v>563</v>
      </c>
      <c r="D78" s="310" t="s">
        <v>708</v>
      </c>
      <c r="E78" s="313" t="s">
        <v>690</v>
      </c>
      <c r="F78" s="310" t="s">
        <v>237</v>
      </c>
      <c r="G78" s="310" t="s">
        <v>370</v>
      </c>
      <c r="H78" s="431" t="s">
        <v>236</v>
      </c>
      <c r="I78" s="318" t="s">
        <v>370</v>
      </c>
      <c r="J78" s="302">
        <v>44277</v>
      </c>
      <c r="K78" s="318">
        <v>44277</v>
      </c>
      <c r="L78" s="302">
        <v>44293</v>
      </c>
      <c r="M78" s="318">
        <v>44293</v>
      </c>
      <c r="N78" s="305">
        <f t="shared" si="34"/>
        <v>16</v>
      </c>
      <c r="O78" s="331">
        <f t="shared" si="35"/>
        <v>16</v>
      </c>
      <c r="P78" s="310" t="s">
        <v>370</v>
      </c>
      <c r="Q78" s="318">
        <v>44340</v>
      </c>
      <c r="R78" s="318">
        <v>44417</v>
      </c>
      <c r="S78" s="331">
        <v>3</v>
      </c>
      <c r="T78" s="311">
        <f t="shared" si="30"/>
        <v>2.558139534883721</v>
      </c>
      <c r="U78" s="311"/>
      <c r="V78" s="311"/>
      <c r="W78" s="311" t="s">
        <v>370</v>
      </c>
      <c r="X78" s="306">
        <v>94557</v>
      </c>
      <c r="Y78" s="115">
        <v>0</v>
      </c>
      <c r="Z78" s="115">
        <v>0</v>
      </c>
      <c r="AA78" s="115">
        <v>0</v>
      </c>
      <c r="AB78" s="115">
        <v>0</v>
      </c>
      <c r="AC78" s="115">
        <v>0</v>
      </c>
      <c r="AD78" s="115">
        <v>0</v>
      </c>
      <c r="AE78" s="115">
        <v>0</v>
      </c>
      <c r="AF78" s="115">
        <v>94557</v>
      </c>
      <c r="AG78" s="115">
        <v>0</v>
      </c>
      <c r="AH78" s="115">
        <v>0</v>
      </c>
      <c r="AI78" s="115">
        <v>13646.35</v>
      </c>
      <c r="AJ78" s="115">
        <v>0</v>
      </c>
      <c r="AK78" s="115">
        <v>0</v>
      </c>
      <c r="AL78" s="275">
        <v>-13646.35</v>
      </c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3"/>
      <c r="AY78" s="47"/>
      <c r="AZ78" s="53">
        <f t="shared" si="31"/>
        <v>94557</v>
      </c>
      <c r="BA78" s="51"/>
      <c r="BB78" s="359">
        <f t="shared" si="33"/>
        <v>0</v>
      </c>
      <c r="BD78" s="55"/>
    </row>
    <row r="79" spans="1:56" s="36" customFormat="1" ht="15.75" x14ac:dyDescent="0.25">
      <c r="A79" s="34" t="s">
        <v>544</v>
      </c>
      <c r="B79" s="35" t="s">
        <v>670</v>
      </c>
      <c r="C79" s="52" t="s">
        <v>563</v>
      </c>
      <c r="D79" s="52" t="s">
        <v>708</v>
      </c>
      <c r="E79" s="35" t="s">
        <v>742</v>
      </c>
      <c r="F79" s="52" t="s">
        <v>46</v>
      </c>
      <c r="G79" s="87" t="s">
        <v>370</v>
      </c>
      <c r="H79" s="432" t="s">
        <v>236</v>
      </c>
      <c r="I79" s="330" t="s">
        <v>370</v>
      </c>
      <c r="J79" s="299">
        <v>44440</v>
      </c>
      <c r="K79" s="330">
        <v>44440</v>
      </c>
      <c r="L79" s="409">
        <v>44455</v>
      </c>
      <c r="M79" s="349">
        <v>44455</v>
      </c>
      <c r="N79" s="344">
        <f t="shared" si="34"/>
        <v>15</v>
      </c>
      <c r="O79" s="333">
        <f t="shared" si="35"/>
        <v>15</v>
      </c>
      <c r="P79" s="52"/>
      <c r="Q79" s="330">
        <v>44461</v>
      </c>
      <c r="R79" s="52">
        <v>44486</v>
      </c>
      <c r="S79" s="333">
        <v>1</v>
      </c>
      <c r="T79" s="88">
        <f t="shared" si="30"/>
        <v>0.83056478405315626</v>
      </c>
      <c r="U79" s="50"/>
      <c r="V79" s="50"/>
      <c r="W79" s="50" t="s">
        <v>370</v>
      </c>
      <c r="X79" s="181">
        <v>15493</v>
      </c>
      <c r="Y79" s="115">
        <v>0</v>
      </c>
      <c r="Z79" s="115">
        <v>0</v>
      </c>
      <c r="AA79" s="115">
        <v>0</v>
      </c>
      <c r="AB79" s="115">
        <v>0</v>
      </c>
      <c r="AC79" s="115">
        <v>0</v>
      </c>
      <c r="AD79" s="115">
        <v>0</v>
      </c>
      <c r="AE79" s="115">
        <v>0</v>
      </c>
      <c r="AF79" s="115">
        <v>0</v>
      </c>
      <c r="AG79" s="115">
        <v>0</v>
      </c>
      <c r="AH79" s="115">
        <v>0</v>
      </c>
      <c r="AI79" s="115">
        <v>0</v>
      </c>
      <c r="AJ79" s="115">
        <v>0</v>
      </c>
      <c r="AK79" s="115">
        <v>0</v>
      </c>
      <c r="AL79" s="275">
        <v>15493</v>
      </c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3"/>
      <c r="AY79" s="47"/>
      <c r="AZ79" s="53">
        <f t="shared" si="31"/>
        <v>15493</v>
      </c>
      <c r="BA79" s="51"/>
      <c r="BB79" s="359">
        <f t="shared" si="33"/>
        <v>0</v>
      </c>
      <c r="BD79" s="55"/>
    </row>
    <row r="80" spans="1:56" s="36" customFormat="1" ht="15.75" x14ac:dyDescent="0.25">
      <c r="A80" s="312" t="s">
        <v>529</v>
      </c>
      <c r="B80" s="313" t="s">
        <v>669</v>
      </c>
      <c r="C80" s="310" t="s">
        <v>563</v>
      </c>
      <c r="D80" s="310" t="s">
        <v>708</v>
      </c>
      <c r="E80" s="313" t="s">
        <v>692</v>
      </c>
      <c r="F80" s="310" t="s">
        <v>237</v>
      </c>
      <c r="G80" s="310" t="s">
        <v>370</v>
      </c>
      <c r="H80" s="431" t="s">
        <v>236</v>
      </c>
      <c r="I80" s="318" t="s">
        <v>370</v>
      </c>
      <c r="J80" s="302">
        <v>44323</v>
      </c>
      <c r="K80" s="318">
        <v>44323</v>
      </c>
      <c r="L80" s="302">
        <v>44358</v>
      </c>
      <c r="M80" s="318">
        <v>44358</v>
      </c>
      <c r="N80" s="305">
        <f t="shared" si="34"/>
        <v>35</v>
      </c>
      <c r="O80" s="331">
        <f t="shared" si="35"/>
        <v>35</v>
      </c>
      <c r="P80" s="310" t="s">
        <v>370</v>
      </c>
      <c r="Q80" s="318">
        <v>44383</v>
      </c>
      <c r="R80" s="318">
        <v>44456</v>
      </c>
      <c r="S80" s="311">
        <v>2</v>
      </c>
      <c r="T80" s="311">
        <f t="shared" si="30"/>
        <v>2.4252491694352161</v>
      </c>
      <c r="U80" s="311"/>
      <c r="V80" s="311"/>
      <c r="W80" s="311" t="s">
        <v>370</v>
      </c>
      <c r="X80" s="306">
        <v>101240</v>
      </c>
      <c r="Y80" s="115">
        <v>0</v>
      </c>
      <c r="Z80" s="115">
        <v>0</v>
      </c>
      <c r="AA80" s="115">
        <v>0</v>
      </c>
      <c r="AB80" s="115">
        <v>0</v>
      </c>
      <c r="AC80" s="115">
        <v>0</v>
      </c>
      <c r="AD80" s="115">
        <v>0</v>
      </c>
      <c r="AE80" s="115">
        <v>0</v>
      </c>
      <c r="AF80" s="115">
        <v>36103</v>
      </c>
      <c r="AG80" s="115">
        <v>58225</v>
      </c>
      <c r="AH80" s="115">
        <v>0</v>
      </c>
      <c r="AI80" s="115">
        <v>0</v>
      </c>
      <c r="AJ80" s="115">
        <v>0</v>
      </c>
      <c r="AK80" s="115">
        <v>0</v>
      </c>
      <c r="AL80" s="275">
        <v>6912</v>
      </c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3"/>
      <c r="AY80" s="47"/>
      <c r="AZ80" s="53">
        <f t="shared" si="31"/>
        <v>101240</v>
      </c>
      <c r="BA80" s="51"/>
      <c r="BB80" s="359">
        <f t="shared" si="33"/>
        <v>0</v>
      </c>
      <c r="BD80" s="55"/>
    </row>
    <row r="81" spans="1:56" s="36" customFormat="1" ht="15.75" x14ac:dyDescent="0.25">
      <c r="A81" s="312" t="s">
        <v>527</v>
      </c>
      <c r="B81" s="313" t="s">
        <v>677</v>
      </c>
      <c r="C81" s="310" t="s">
        <v>563</v>
      </c>
      <c r="D81" s="310" t="s">
        <v>708</v>
      </c>
      <c r="E81" s="313" t="s">
        <v>693</v>
      </c>
      <c r="F81" s="310" t="s">
        <v>237</v>
      </c>
      <c r="G81" s="310" t="s">
        <v>370</v>
      </c>
      <c r="H81" s="431" t="s">
        <v>236</v>
      </c>
      <c r="I81" s="318" t="s">
        <v>370</v>
      </c>
      <c r="J81" s="302">
        <v>44351</v>
      </c>
      <c r="K81" s="318">
        <v>44351</v>
      </c>
      <c r="L81" s="302">
        <v>44368</v>
      </c>
      <c r="M81" s="318">
        <v>44368</v>
      </c>
      <c r="N81" s="305">
        <f t="shared" si="34"/>
        <v>17</v>
      </c>
      <c r="O81" s="331">
        <f t="shared" si="35"/>
        <v>17</v>
      </c>
      <c r="P81" s="52" t="s">
        <v>370</v>
      </c>
      <c r="Q81" s="318">
        <v>44375</v>
      </c>
      <c r="R81" s="310">
        <v>44438</v>
      </c>
      <c r="S81" s="311">
        <v>2</v>
      </c>
      <c r="T81" s="311">
        <f t="shared" si="30"/>
        <v>2.0930232558139537</v>
      </c>
      <c r="U81" s="311"/>
      <c r="V81" s="311"/>
      <c r="W81" s="311" t="s">
        <v>370</v>
      </c>
      <c r="X81" s="306">
        <v>36900</v>
      </c>
      <c r="Y81" s="115">
        <v>0</v>
      </c>
      <c r="Z81" s="115">
        <v>0</v>
      </c>
      <c r="AA81" s="115">
        <v>0</v>
      </c>
      <c r="AB81" s="115">
        <v>0</v>
      </c>
      <c r="AC81" s="115">
        <v>0</v>
      </c>
      <c r="AD81" s="115">
        <v>0</v>
      </c>
      <c r="AE81" s="115">
        <v>0</v>
      </c>
      <c r="AF81" s="115">
        <v>36900</v>
      </c>
      <c r="AG81" s="115">
        <v>0</v>
      </c>
      <c r="AH81" s="115">
        <v>0</v>
      </c>
      <c r="AI81" s="115">
        <v>0</v>
      </c>
      <c r="AJ81" s="115">
        <v>0</v>
      </c>
      <c r="AK81" s="115">
        <v>0</v>
      </c>
      <c r="AL81" s="275">
        <v>0</v>
      </c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47"/>
      <c r="AZ81" s="53">
        <f t="shared" si="31"/>
        <v>36900</v>
      </c>
      <c r="BA81" s="51"/>
      <c r="BB81" s="359">
        <f t="shared" si="33"/>
        <v>0</v>
      </c>
    </row>
    <row r="82" spans="1:56" s="36" customFormat="1" ht="15.75" x14ac:dyDescent="0.25">
      <c r="A82" s="312" t="s">
        <v>666</v>
      </c>
      <c r="B82" s="313" t="s">
        <v>741</v>
      </c>
      <c r="C82" s="310" t="s">
        <v>563</v>
      </c>
      <c r="D82" s="310" t="s">
        <v>708</v>
      </c>
      <c r="E82" s="313" t="s">
        <v>690</v>
      </c>
      <c r="F82" s="310" t="s">
        <v>237</v>
      </c>
      <c r="G82" s="310" t="s">
        <v>370</v>
      </c>
      <c r="H82" s="431" t="s">
        <v>236</v>
      </c>
      <c r="I82" s="318" t="s">
        <v>370</v>
      </c>
      <c r="J82" s="302">
        <v>44460</v>
      </c>
      <c r="K82" s="318">
        <v>44460</v>
      </c>
      <c r="L82" s="302">
        <v>44484</v>
      </c>
      <c r="M82" s="318">
        <v>44484</v>
      </c>
      <c r="N82" s="305">
        <f t="shared" si="34"/>
        <v>24</v>
      </c>
      <c r="O82" s="311">
        <f t="shared" si="35"/>
        <v>24</v>
      </c>
      <c r="P82" s="310" t="s">
        <v>370</v>
      </c>
      <c r="Q82" s="318">
        <v>44468</v>
      </c>
      <c r="R82" s="318">
        <v>44477</v>
      </c>
      <c r="S82" s="311">
        <v>0</v>
      </c>
      <c r="T82" s="311">
        <f t="shared" si="30"/>
        <v>0.29900332225913623</v>
      </c>
      <c r="U82" s="311"/>
      <c r="V82" s="311"/>
      <c r="W82" s="311" t="s">
        <v>370</v>
      </c>
      <c r="X82" s="306">
        <v>12885</v>
      </c>
      <c r="Y82" s="115">
        <v>0</v>
      </c>
      <c r="Z82" s="115">
        <v>0</v>
      </c>
      <c r="AA82" s="115">
        <v>0</v>
      </c>
      <c r="AB82" s="115">
        <v>0</v>
      </c>
      <c r="AC82" s="115">
        <v>0</v>
      </c>
      <c r="AD82" s="115">
        <v>0</v>
      </c>
      <c r="AE82" s="115">
        <v>0</v>
      </c>
      <c r="AF82" s="115">
        <v>0</v>
      </c>
      <c r="AG82" s="115">
        <v>0</v>
      </c>
      <c r="AH82" s="115">
        <v>0</v>
      </c>
      <c r="AI82" s="115">
        <v>0</v>
      </c>
      <c r="AJ82" s="115">
        <v>20166.669999999998</v>
      </c>
      <c r="AK82" s="115">
        <v>0</v>
      </c>
      <c r="AL82" s="275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47"/>
      <c r="AZ82" s="53">
        <f t="shared" si="31"/>
        <v>20166.669999999998</v>
      </c>
      <c r="BA82" s="51"/>
      <c r="BB82" s="359">
        <f t="shared" si="33"/>
        <v>7281.6699999999983</v>
      </c>
    </row>
    <row r="83" spans="1:56" s="36" customFormat="1" ht="15.75" x14ac:dyDescent="0.25">
      <c r="A83" s="113" t="s">
        <v>150</v>
      </c>
      <c r="B83" s="114" t="s">
        <v>151</v>
      </c>
      <c r="C83" s="52" t="s">
        <v>563</v>
      </c>
      <c r="D83" s="52" t="s">
        <v>704</v>
      </c>
      <c r="E83" s="57" t="s">
        <v>709</v>
      </c>
      <c r="F83" s="52" t="s">
        <v>46</v>
      </c>
      <c r="G83" s="52" t="s">
        <v>370</v>
      </c>
      <c r="H83" s="422" t="s">
        <v>820</v>
      </c>
      <c r="I83" s="330" t="s">
        <v>370</v>
      </c>
      <c r="J83" s="87">
        <v>44369</v>
      </c>
      <c r="K83" s="329">
        <v>44369</v>
      </c>
      <c r="L83" s="298">
        <v>44509</v>
      </c>
      <c r="M83" s="329">
        <v>44509</v>
      </c>
      <c r="N83" s="344">
        <f t="shared" si="34"/>
        <v>140</v>
      </c>
      <c r="O83" s="333">
        <f t="shared" si="35"/>
        <v>140</v>
      </c>
      <c r="P83" s="52" t="s">
        <v>370</v>
      </c>
      <c r="Q83" s="329">
        <v>44517</v>
      </c>
      <c r="R83" s="52">
        <v>44713</v>
      </c>
      <c r="S83" s="50">
        <v>7</v>
      </c>
      <c r="T83" s="50">
        <f t="shared" si="30"/>
        <v>6.5116279069767442</v>
      </c>
      <c r="U83" s="50"/>
      <c r="V83" s="50"/>
      <c r="W83" s="50" t="s">
        <v>370</v>
      </c>
      <c r="X83" s="182">
        <v>1910050</v>
      </c>
      <c r="Y83" s="115">
        <v>0</v>
      </c>
      <c r="Z83" s="115">
        <v>0</v>
      </c>
      <c r="AA83" s="115">
        <v>0</v>
      </c>
      <c r="AB83" s="115">
        <v>0</v>
      </c>
      <c r="AC83" s="115">
        <v>0</v>
      </c>
      <c r="AD83" s="115">
        <v>0</v>
      </c>
      <c r="AE83" s="115">
        <f>119451</f>
        <v>119451</v>
      </c>
      <c r="AF83" s="115">
        <v>0</v>
      </c>
      <c r="AG83" s="115">
        <v>139349</v>
      </c>
      <c r="AH83" s="115">
        <v>0</v>
      </c>
      <c r="AI83" s="115">
        <v>270190.82999999996</v>
      </c>
      <c r="AJ83" s="115">
        <v>61829.84</v>
      </c>
      <c r="AK83" s="115">
        <v>301196.25</v>
      </c>
      <c r="AL83" s="275">
        <v>250000</v>
      </c>
      <c r="AM83" s="275">
        <v>300000</v>
      </c>
      <c r="AN83" s="275">
        <v>300000</v>
      </c>
      <c r="AO83" s="275">
        <v>294229.33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47"/>
      <c r="AZ83" s="53">
        <f t="shared" si="31"/>
        <v>2036246.25</v>
      </c>
      <c r="BA83" s="51"/>
      <c r="BB83" s="359">
        <f t="shared" si="33"/>
        <v>126196.25</v>
      </c>
    </row>
    <row r="84" spans="1:56" s="36" customFormat="1" ht="15.75" x14ac:dyDescent="0.25">
      <c r="A84" s="386" t="s">
        <v>153</v>
      </c>
      <c r="B84" s="393" t="s">
        <v>424</v>
      </c>
      <c r="C84" s="52" t="s">
        <v>708</v>
      </c>
      <c r="D84" s="52" t="s">
        <v>704</v>
      </c>
      <c r="E84" s="65" t="s">
        <v>710</v>
      </c>
      <c r="F84" s="52" t="s">
        <v>623</v>
      </c>
      <c r="G84" s="52" t="s">
        <v>370</v>
      </c>
      <c r="H84" s="422" t="s">
        <v>820</v>
      </c>
      <c r="I84" s="330" t="s">
        <v>370</v>
      </c>
      <c r="J84" s="87">
        <v>44551</v>
      </c>
      <c r="K84" s="329">
        <v>44543</v>
      </c>
      <c r="L84" s="298">
        <v>44588</v>
      </c>
      <c r="M84" s="329">
        <v>44585</v>
      </c>
      <c r="N84" s="344">
        <f t="shared" si="34"/>
        <v>37</v>
      </c>
      <c r="O84" s="346">
        <f>M84-K84</f>
        <v>42</v>
      </c>
      <c r="P84" s="52" t="s">
        <v>370</v>
      </c>
      <c r="Q84" s="376">
        <v>44627</v>
      </c>
      <c r="R84" s="52">
        <v>44715</v>
      </c>
      <c r="S84" s="50">
        <v>3</v>
      </c>
      <c r="T84" s="50">
        <f>((R84-Q84)/7)/4.3</f>
        <v>2.9235880398671097</v>
      </c>
      <c r="U84" s="50"/>
      <c r="V84" s="50"/>
      <c r="W84" s="50" t="s">
        <v>370</v>
      </c>
      <c r="X84" s="182">
        <v>288979</v>
      </c>
      <c r="Y84" s="115">
        <v>0</v>
      </c>
      <c r="Z84" s="115">
        <v>0</v>
      </c>
      <c r="AA84" s="115">
        <v>0</v>
      </c>
      <c r="AB84" s="115">
        <v>0</v>
      </c>
      <c r="AC84" s="115">
        <v>0</v>
      </c>
      <c r="AD84" s="115">
        <v>0</v>
      </c>
      <c r="AE84" s="115">
        <f>7826</f>
        <v>7826</v>
      </c>
      <c r="AF84" s="115">
        <v>0</v>
      </c>
      <c r="AG84" s="115">
        <v>9711</v>
      </c>
      <c r="AH84" s="115">
        <v>0</v>
      </c>
      <c r="AI84" s="115">
        <v>0</v>
      </c>
      <c r="AJ84" s="115">
        <v>0</v>
      </c>
      <c r="AK84" s="115">
        <v>0</v>
      </c>
      <c r="AL84" s="58"/>
      <c r="AM84" s="275">
        <v>60000</v>
      </c>
      <c r="AN84" s="275">
        <v>60000</v>
      </c>
      <c r="AO84" s="275">
        <v>60000</v>
      </c>
      <c r="AP84" s="275">
        <v>60000</v>
      </c>
      <c r="AQ84" s="58"/>
      <c r="AR84" s="58"/>
      <c r="AS84" s="58"/>
      <c r="AT84" s="58"/>
      <c r="AU84" s="58"/>
      <c r="AV84" s="275">
        <v>31442</v>
      </c>
      <c r="AW84" s="58"/>
      <c r="AX84" s="53"/>
      <c r="AY84" s="47"/>
      <c r="AZ84" s="53">
        <f>SUM(Y84:AY84)</f>
        <v>288979</v>
      </c>
      <c r="BA84" s="51"/>
      <c r="BB84" s="359">
        <f>AZ84-X84</f>
        <v>0</v>
      </c>
      <c r="BD84" s="55"/>
    </row>
    <row r="85" spans="1:56" s="36" customFormat="1" ht="15.75" x14ac:dyDescent="0.25">
      <c r="A85" s="374" t="s">
        <v>155</v>
      </c>
      <c r="B85" s="375" t="s">
        <v>426</v>
      </c>
      <c r="C85" s="52" t="s">
        <v>708</v>
      </c>
      <c r="D85" s="52" t="s">
        <v>704</v>
      </c>
      <c r="E85" s="57" t="s">
        <v>711</v>
      </c>
      <c r="F85" s="52" t="s">
        <v>623</v>
      </c>
      <c r="G85" s="52" t="s">
        <v>370</v>
      </c>
      <c r="H85" s="422" t="s">
        <v>820</v>
      </c>
      <c r="I85" s="330" t="s">
        <v>370</v>
      </c>
      <c r="J85" s="87">
        <v>44551</v>
      </c>
      <c r="K85" s="329">
        <v>44559</v>
      </c>
      <c r="L85" s="298">
        <v>44596</v>
      </c>
      <c r="M85" s="329">
        <v>44585</v>
      </c>
      <c r="N85" s="344">
        <f t="shared" si="34"/>
        <v>45</v>
      </c>
      <c r="O85" s="346">
        <f>M85-K85</f>
        <v>26</v>
      </c>
      <c r="P85" s="52" t="s">
        <v>370</v>
      </c>
      <c r="Q85" s="376">
        <v>44627</v>
      </c>
      <c r="R85" s="52">
        <v>44715</v>
      </c>
      <c r="S85" s="50">
        <v>3</v>
      </c>
      <c r="T85" s="50">
        <f>((R85-Q85)/7)/4.3</f>
        <v>2.9235880398671097</v>
      </c>
      <c r="U85" s="50"/>
      <c r="V85" s="50"/>
      <c r="W85" s="50" t="s">
        <v>370</v>
      </c>
      <c r="X85" s="182">
        <v>366822</v>
      </c>
      <c r="Y85" s="115">
        <v>0</v>
      </c>
      <c r="Z85" s="115">
        <v>0</v>
      </c>
      <c r="AA85" s="115">
        <v>0</v>
      </c>
      <c r="AB85" s="115">
        <v>0</v>
      </c>
      <c r="AC85" s="115">
        <v>0</v>
      </c>
      <c r="AD85" s="115">
        <v>0</v>
      </c>
      <c r="AE85" s="115">
        <f>7716</f>
        <v>7716</v>
      </c>
      <c r="AF85" s="115">
        <v>0</v>
      </c>
      <c r="AG85" s="115">
        <v>12408</v>
      </c>
      <c r="AH85" s="115">
        <v>0</v>
      </c>
      <c r="AI85" s="115">
        <v>0</v>
      </c>
      <c r="AJ85" s="115">
        <v>0</v>
      </c>
      <c r="AK85" s="115">
        <v>0</v>
      </c>
      <c r="AL85" s="58"/>
      <c r="AM85" s="58">
        <v>75000</v>
      </c>
      <c r="AN85" s="275">
        <v>75000</v>
      </c>
      <c r="AO85" s="275">
        <v>75000</v>
      </c>
      <c r="AP85" s="275">
        <v>62000</v>
      </c>
      <c r="AQ85" s="275"/>
      <c r="AR85" s="58"/>
      <c r="AS85" s="58"/>
      <c r="AT85" s="58"/>
      <c r="AU85" s="58"/>
      <c r="AV85" s="58">
        <v>59698</v>
      </c>
      <c r="AW85" s="58"/>
      <c r="AX85" s="53"/>
      <c r="AY85" s="47"/>
      <c r="AZ85" s="53">
        <f>SUM(Y85:AY85)</f>
        <v>366822</v>
      </c>
      <c r="BA85" s="51"/>
      <c r="BB85" s="359">
        <f>AZ85-X85</f>
        <v>0</v>
      </c>
    </row>
    <row r="86" spans="1:56" s="36" customFormat="1" ht="15.75" x14ac:dyDescent="0.25">
      <c r="A86" s="99"/>
      <c r="B86" s="100"/>
      <c r="C86" s="91"/>
      <c r="D86" s="91"/>
      <c r="E86" s="100"/>
      <c r="F86" s="91"/>
      <c r="G86" s="91"/>
      <c r="H86" s="429"/>
      <c r="I86" s="91"/>
      <c r="J86" s="91"/>
      <c r="K86" s="91"/>
      <c r="L86" s="91"/>
      <c r="M86" s="91"/>
      <c r="N86" s="91"/>
      <c r="O86" s="92"/>
      <c r="P86" s="91"/>
      <c r="Q86" s="91"/>
      <c r="R86" s="91"/>
      <c r="S86" s="92"/>
      <c r="T86" s="91"/>
      <c r="U86" s="92"/>
      <c r="V86" s="92"/>
      <c r="W86" s="92"/>
      <c r="X86" s="243">
        <f t="shared" ref="X86:AX86" si="36">SUBTOTAL(9,X70:X85)</f>
        <v>3386235</v>
      </c>
      <c r="Y86" s="243">
        <f t="shared" si="36"/>
        <v>0</v>
      </c>
      <c r="Z86" s="243">
        <f t="shared" si="36"/>
        <v>0</v>
      </c>
      <c r="AA86" s="243">
        <f t="shared" si="36"/>
        <v>0</v>
      </c>
      <c r="AB86" s="243">
        <f t="shared" si="36"/>
        <v>0</v>
      </c>
      <c r="AC86" s="243">
        <f t="shared" si="36"/>
        <v>0</v>
      </c>
      <c r="AD86" s="243">
        <f t="shared" si="36"/>
        <v>0</v>
      </c>
      <c r="AE86" s="243">
        <f t="shared" si="36"/>
        <v>254115</v>
      </c>
      <c r="AF86" s="243">
        <f t="shared" si="36"/>
        <v>324252</v>
      </c>
      <c r="AG86" s="243">
        <f t="shared" si="36"/>
        <v>392112</v>
      </c>
      <c r="AH86" s="243">
        <f t="shared" si="36"/>
        <v>13768.89</v>
      </c>
      <c r="AI86" s="243">
        <f t="shared" si="36"/>
        <v>283837.17999999993</v>
      </c>
      <c r="AJ86" s="243">
        <f t="shared" si="36"/>
        <v>101477.97</v>
      </c>
      <c r="AK86" s="243">
        <f t="shared" si="36"/>
        <v>301196.25</v>
      </c>
      <c r="AL86" s="243">
        <f t="shared" si="36"/>
        <v>356065.76</v>
      </c>
      <c r="AM86" s="243">
        <f t="shared" si="36"/>
        <v>435000</v>
      </c>
      <c r="AN86" s="243">
        <f t="shared" si="36"/>
        <v>435000</v>
      </c>
      <c r="AO86" s="243">
        <f t="shared" si="36"/>
        <v>429229.33</v>
      </c>
      <c r="AP86" s="243">
        <f t="shared" si="36"/>
        <v>122000</v>
      </c>
      <c r="AQ86" s="243">
        <f t="shared" si="36"/>
        <v>0</v>
      </c>
      <c r="AR86" s="243">
        <f t="shared" si="36"/>
        <v>0</v>
      </c>
      <c r="AS86" s="243">
        <f t="shared" si="36"/>
        <v>0</v>
      </c>
      <c r="AT86" s="243">
        <f t="shared" si="36"/>
        <v>0</v>
      </c>
      <c r="AU86" s="243">
        <f t="shared" si="36"/>
        <v>0</v>
      </c>
      <c r="AV86" s="243">
        <f t="shared" si="36"/>
        <v>91140</v>
      </c>
      <c r="AW86" s="243">
        <f t="shared" si="36"/>
        <v>0</v>
      </c>
      <c r="AX86" s="243">
        <f t="shared" si="36"/>
        <v>0</v>
      </c>
      <c r="AY86" s="47"/>
      <c r="AZ86" s="243">
        <f>SUBTOTAL(9,AZ70:AZ85)</f>
        <v>3539194.38</v>
      </c>
      <c r="BA86" s="51"/>
      <c r="BB86" s="359">
        <f t="shared" si="33"/>
        <v>152959.37999999989</v>
      </c>
    </row>
    <row r="87" spans="1:56" s="36" customFormat="1" ht="15.75" x14ac:dyDescent="0.25">
      <c r="A87" s="381" t="s">
        <v>623</v>
      </c>
      <c r="B87" s="106"/>
      <c r="C87" s="102"/>
      <c r="D87" s="102"/>
      <c r="E87" s="387"/>
      <c r="F87" s="102"/>
      <c r="G87" s="102"/>
      <c r="H87" s="433"/>
      <c r="I87" s="102"/>
      <c r="J87" s="102"/>
      <c r="K87" s="276"/>
      <c r="L87" s="276"/>
      <c r="M87" s="276"/>
      <c r="N87" s="276"/>
      <c r="O87" s="84"/>
      <c r="P87" s="102"/>
      <c r="Q87" s="102"/>
      <c r="R87" s="102"/>
      <c r="S87" s="84"/>
      <c r="T87" s="102"/>
      <c r="U87" s="102"/>
      <c r="V87" s="102"/>
      <c r="W87" s="102"/>
      <c r="X87" s="102"/>
      <c r="Y87" s="85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47"/>
      <c r="AZ87" s="85"/>
      <c r="BA87" s="51"/>
      <c r="BB87" s="359">
        <f t="shared" si="33"/>
        <v>0</v>
      </c>
    </row>
    <row r="88" spans="1:56" s="36" customFormat="1" ht="15.75" x14ac:dyDescent="0.25">
      <c r="A88" s="113" t="s">
        <v>191</v>
      </c>
      <c r="B88" s="114" t="s">
        <v>192</v>
      </c>
      <c r="C88" s="52" t="s">
        <v>45</v>
      </c>
      <c r="D88" s="52" t="s">
        <v>45</v>
      </c>
      <c r="E88" s="112" t="s">
        <v>193</v>
      </c>
      <c r="F88" s="52" t="s">
        <v>623</v>
      </c>
      <c r="G88" s="52" t="s">
        <v>320</v>
      </c>
      <c r="H88" s="423" t="s">
        <v>184</v>
      </c>
      <c r="I88" s="276" t="s">
        <v>320</v>
      </c>
      <c r="J88" s="87">
        <v>44713</v>
      </c>
      <c r="K88" s="298">
        <v>44713</v>
      </c>
      <c r="L88" s="299">
        <v>44758</v>
      </c>
      <c r="M88" s="52">
        <f t="shared" ref="M88:M95" si="37">K88+45</f>
        <v>44758</v>
      </c>
      <c r="N88" s="50">
        <f>L88-J88</f>
        <v>45</v>
      </c>
      <c r="O88" s="50">
        <f t="shared" ref="O88:O125" si="38">M88-K88</f>
        <v>45</v>
      </c>
      <c r="P88" s="52" t="s">
        <v>320</v>
      </c>
      <c r="Q88" s="52">
        <f>M88+30</f>
        <v>44788</v>
      </c>
      <c r="R88" s="52">
        <f>Q88+(12*4.3*7)</f>
        <v>45149.2</v>
      </c>
      <c r="S88" s="50">
        <v>11.999999999999904</v>
      </c>
      <c r="T88" s="50">
        <f t="shared" ref="T88:T122" si="39">((R88-Q88)/7)/4.3</f>
        <v>11.999999999999904</v>
      </c>
      <c r="U88" s="50"/>
      <c r="V88" s="50"/>
      <c r="W88" s="50"/>
      <c r="X88" s="53">
        <v>4000000</v>
      </c>
      <c r="Y88" s="115">
        <v>0</v>
      </c>
      <c r="Z88" s="115">
        <v>0</v>
      </c>
      <c r="AA88" s="115">
        <v>0</v>
      </c>
      <c r="AB88" s="115">
        <v>0</v>
      </c>
      <c r="AC88" s="115">
        <v>0</v>
      </c>
      <c r="AD88" s="115">
        <v>0</v>
      </c>
      <c r="AE88" s="115">
        <v>0</v>
      </c>
      <c r="AF88" s="115">
        <v>0</v>
      </c>
      <c r="AG88" s="115">
        <v>0</v>
      </c>
      <c r="AH88" s="115">
        <v>0</v>
      </c>
      <c r="AI88" s="115">
        <v>0</v>
      </c>
      <c r="AJ88" s="115">
        <v>0</v>
      </c>
      <c r="AK88" s="115">
        <v>0</v>
      </c>
      <c r="AL88" s="58"/>
      <c r="AM88" s="58"/>
      <c r="AN88" s="275">
        <v>200000</v>
      </c>
      <c r="AO88" s="275">
        <v>250000</v>
      </c>
      <c r="AP88" s="275">
        <v>340000</v>
      </c>
      <c r="AQ88" s="275">
        <v>340000</v>
      </c>
      <c r="AR88" s="275">
        <v>340000</v>
      </c>
      <c r="AS88" s="275">
        <v>340000</v>
      </c>
      <c r="AT88" s="275">
        <v>340000</v>
      </c>
      <c r="AU88" s="275">
        <v>340000</v>
      </c>
      <c r="AV88" s="275">
        <v>340000</v>
      </c>
      <c r="AW88" s="275">
        <v>340000</v>
      </c>
      <c r="AX88" s="275">
        <v>830000</v>
      </c>
      <c r="AY88" s="47"/>
      <c r="AZ88" s="53">
        <f t="shared" ref="AZ88:AZ137" si="40">SUM(Y88:AY88)</f>
        <v>4000000</v>
      </c>
      <c r="BA88" s="51"/>
      <c r="BB88" s="359">
        <f t="shared" si="33"/>
        <v>0</v>
      </c>
    </row>
    <row r="89" spans="1:56" s="36" customFormat="1" ht="15.75" x14ac:dyDescent="0.25">
      <c r="A89" s="113" t="s">
        <v>194</v>
      </c>
      <c r="B89" s="114" t="s">
        <v>609</v>
      </c>
      <c r="C89" s="52" t="s">
        <v>708</v>
      </c>
      <c r="D89" s="52" t="s">
        <v>45</v>
      </c>
      <c r="E89" s="35" t="s">
        <v>196</v>
      </c>
      <c r="F89" s="52" t="s">
        <v>623</v>
      </c>
      <c r="G89" s="52" t="s">
        <v>320</v>
      </c>
      <c r="H89" s="422" t="s">
        <v>821</v>
      </c>
      <c r="I89" s="87">
        <v>44606</v>
      </c>
      <c r="J89" s="87">
        <v>44597</v>
      </c>
      <c r="K89" s="298">
        <v>44607</v>
      </c>
      <c r="L89" s="298">
        <v>44667</v>
      </c>
      <c r="M89" s="87">
        <f>K89+60</f>
        <v>44667</v>
      </c>
      <c r="N89" s="50">
        <f t="shared" ref="N89:N137" si="41">L89-J89</f>
        <v>70</v>
      </c>
      <c r="O89" s="50">
        <f t="shared" si="38"/>
        <v>60</v>
      </c>
      <c r="P89" s="52" t="s">
        <v>320</v>
      </c>
      <c r="Q89" s="87">
        <v>44682</v>
      </c>
      <c r="R89" s="52">
        <f>Q89+(9*4.3*7)</f>
        <v>44952.9</v>
      </c>
      <c r="S89" s="50">
        <v>9.0000000000000497</v>
      </c>
      <c r="T89" s="50">
        <f t="shared" si="39"/>
        <v>9.0000000000000497</v>
      </c>
      <c r="U89" s="50"/>
      <c r="V89" s="50"/>
      <c r="W89" s="50"/>
      <c r="X89" s="53">
        <v>2200000</v>
      </c>
      <c r="Y89" s="115">
        <v>0</v>
      </c>
      <c r="Z89" s="115">
        <v>0</v>
      </c>
      <c r="AA89" s="115">
        <v>0</v>
      </c>
      <c r="AB89" s="115">
        <v>0</v>
      </c>
      <c r="AC89" s="115">
        <v>0</v>
      </c>
      <c r="AD89" s="115">
        <v>0</v>
      </c>
      <c r="AE89" s="115">
        <v>0</v>
      </c>
      <c r="AF89" s="115">
        <v>0</v>
      </c>
      <c r="AG89" s="115">
        <v>0</v>
      </c>
      <c r="AH89" s="115">
        <v>0</v>
      </c>
      <c r="AI89" s="115">
        <v>0</v>
      </c>
      <c r="AJ89" s="115">
        <v>0</v>
      </c>
      <c r="AK89" s="115">
        <v>0</v>
      </c>
      <c r="AL89" s="58"/>
      <c r="AM89" s="58"/>
      <c r="AN89" s="275">
        <v>150000</v>
      </c>
      <c r="AO89" s="275">
        <v>200000</v>
      </c>
      <c r="AP89" s="275">
        <v>260000</v>
      </c>
      <c r="AQ89" s="275">
        <v>260000</v>
      </c>
      <c r="AR89" s="275">
        <v>300000</v>
      </c>
      <c r="AS89" s="275">
        <v>300000</v>
      </c>
      <c r="AT89" s="275">
        <v>260000</v>
      </c>
      <c r="AU89" s="275">
        <v>260000</v>
      </c>
      <c r="AV89" s="275">
        <v>210000</v>
      </c>
      <c r="AW89" s="58"/>
      <c r="AX89" s="58"/>
      <c r="AY89" s="47"/>
      <c r="AZ89" s="53">
        <f t="shared" si="40"/>
        <v>2200000</v>
      </c>
      <c r="BA89" s="51"/>
      <c r="BB89" s="359">
        <f t="shared" si="33"/>
        <v>0</v>
      </c>
    </row>
    <row r="90" spans="1:56" s="36" customFormat="1" ht="15.75" x14ac:dyDescent="0.25">
      <c r="A90" s="113" t="s">
        <v>647</v>
      </c>
      <c r="B90" s="114" t="s">
        <v>604</v>
      </c>
      <c r="C90" s="52" t="s">
        <v>762</v>
      </c>
      <c r="D90" s="52" t="s">
        <v>630</v>
      </c>
      <c r="E90" s="114" t="s">
        <v>684</v>
      </c>
      <c r="F90" s="52" t="s">
        <v>623</v>
      </c>
      <c r="G90" s="52" t="s">
        <v>320</v>
      </c>
      <c r="H90" s="422" t="s">
        <v>815</v>
      </c>
      <c r="I90" s="329" t="s">
        <v>370</v>
      </c>
      <c r="J90" s="87">
        <v>44564</v>
      </c>
      <c r="K90" s="52">
        <v>44564</v>
      </c>
      <c r="L90" s="52">
        <v>44609</v>
      </c>
      <c r="M90" s="52">
        <f t="shared" si="37"/>
        <v>44609</v>
      </c>
      <c r="N90" s="50">
        <f t="shared" si="41"/>
        <v>45</v>
      </c>
      <c r="O90" s="50">
        <f t="shared" si="38"/>
        <v>45</v>
      </c>
      <c r="P90" s="52" t="s">
        <v>320</v>
      </c>
      <c r="Q90" s="87">
        <v>44652</v>
      </c>
      <c r="R90" s="52">
        <f>Q90+(9*4.3*7)</f>
        <v>44922.9</v>
      </c>
      <c r="S90" s="50">
        <v>9.0000000000000497</v>
      </c>
      <c r="T90" s="50">
        <f t="shared" si="39"/>
        <v>9.0000000000000497</v>
      </c>
      <c r="U90" s="50"/>
      <c r="V90" s="50"/>
      <c r="W90" s="50"/>
      <c r="X90" s="189">
        <v>980000</v>
      </c>
      <c r="Y90" s="115">
        <v>0</v>
      </c>
      <c r="Z90" s="115">
        <v>0</v>
      </c>
      <c r="AA90" s="115">
        <v>0</v>
      </c>
      <c r="AB90" s="115">
        <v>0</v>
      </c>
      <c r="AC90" s="115">
        <v>0</v>
      </c>
      <c r="AD90" s="115">
        <v>0</v>
      </c>
      <c r="AE90" s="115">
        <v>0</v>
      </c>
      <c r="AF90" s="115">
        <v>0</v>
      </c>
      <c r="AG90" s="115">
        <v>0</v>
      </c>
      <c r="AH90" s="115">
        <v>0</v>
      </c>
      <c r="AI90" s="115">
        <v>0</v>
      </c>
      <c r="AJ90" s="115">
        <v>0</v>
      </c>
      <c r="AK90" s="115">
        <v>0</v>
      </c>
      <c r="AL90" s="58"/>
      <c r="AM90" s="58"/>
      <c r="AN90" s="275">
        <v>50000</v>
      </c>
      <c r="AO90" s="275">
        <v>100000</v>
      </c>
      <c r="AP90" s="275">
        <v>125000</v>
      </c>
      <c r="AQ90" s="275">
        <v>150000</v>
      </c>
      <c r="AR90" s="275">
        <v>200000</v>
      </c>
      <c r="AS90" s="275">
        <v>200000</v>
      </c>
      <c r="AT90" s="275">
        <v>155000</v>
      </c>
      <c r="AU90" s="58"/>
      <c r="AV90" s="58"/>
      <c r="AW90" s="58"/>
      <c r="AX90" s="58"/>
      <c r="AY90" s="47"/>
      <c r="AZ90" s="53">
        <f t="shared" si="40"/>
        <v>980000</v>
      </c>
      <c r="BA90" s="51"/>
      <c r="BB90" s="359">
        <f t="shared" si="33"/>
        <v>0</v>
      </c>
    </row>
    <row r="91" spans="1:56" s="36" customFormat="1" ht="15.75" x14ac:dyDescent="0.25">
      <c r="A91" s="113" t="s">
        <v>648</v>
      </c>
      <c r="B91" s="114" t="s">
        <v>605</v>
      </c>
      <c r="C91" s="52" t="s">
        <v>762</v>
      </c>
      <c r="D91" s="52" t="s">
        <v>630</v>
      </c>
      <c r="E91" s="112" t="s">
        <v>684</v>
      </c>
      <c r="F91" s="52" t="s">
        <v>623</v>
      </c>
      <c r="G91" s="52" t="s">
        <v>320</v>
      </c>
      <c r="H91" s="422" t="s">
        <v>815</v>
      </c>
      <c r="I91" s="329" t="s">
        <v>370</v>
      </c>
      <c r="J91" s="87">
        <v>44564</v>
      </c>
      <c r="K91" s="52">
        <v>44564</v>
      </c>
      <c r="L91" s="52">
        <v>44609</v>
      </c>
      <c r="M91" s="52">
        <f t="shared" si="37"/>
        <v>44609</v>
      </c>
      <c r="N91" s="50">
        <f t="shared" si="41"/>
        <v>45</v>
      </c>
      <c r="O91" s="50">
        <f t="shared" si="38"/>
        <v>45</v>
      </c>
      <c r="P91" s="52" t="s">
        <v>320</v>
      </c>
      <c r="Q91" s="87">
        <v>44652</v>
      </c>
      <c r="R91" s="52">
        <f>Q91+(9*4.3*7)</f>
        <v>44922.9</v>
      </c>
      <c r="S91" s="50">
        <v>9.0000000000000497</v>
      </c>
      <c r="T91" s="50">
        <f t="shared" si="39"/>
        <v>9.0000000000000497</v>
      </c>
      <c r="U91" s="50"/>
      <c r="V91" s="50"/>
      <c r="W91" s="50"/>
      <c r="X91" s="189">
        <v>1558000</v>
      </c>
      <c r="Y91" s="115">
        <v>0</v>
      </c>
      <c r="Z91" s="115">
        <v>0</v>
      </c>
      <c r="AA91" s="115">
        <v>0</v>
      </c>
      <c r="AB91" s="115">
        <v>0</v>
      </c>
      <c r="AC91" s="115">
        <v>0</v>
      </c>
      <c r="AD91" s="115">
        <v>0</v>
      </c>
      <c r="AE91" s="115">
        <v>0</v>
      </c>
      <c r="AF91" s="115">
        <v>0</v>
      </c>
      <c r="AG91" s="115">
        <v>0</v>
      </c>
      <c r="AH91" s="115">
        <v>0</v>
      </c>
      <c r="AI91" s="115">
        <v>0</v>
      </c>
      <c r="AJ91" s="115">
        <v>0</v>
      </c>
      <c r="AK91" s="115">
        <v>0</v>
      </c>
      <c r="AL91" s="58"/>
      <c r="AM91" s="58"/>
      <c r="AN91" s="275">
        <v>50000</v>
      </c>
      <c r="AO91" s="275">
        <v>125000</v>
      </c>
      <c r="AP91" s="275">
        <v>225000</v>
      </c>
      <c r="AQ91" s="275">
        <v>300000</v>
      </c>
      <c r="AR91" s="275">
        <v>300000</v>
      </c>
      <c r="AS91" s="275">
        <v>300000</v>
      </c>
      <c r="AT91" s="275">
        <v>258000</v>
      </c>
      <c r="AU91" s="58"/>
      <c r="AV91" s="58"/>
      <c r="AW91" s="58"/>
      <c r="AX91" s="58"/>
      <c r="AY91" s="47"/>
      <c r="AZ91" s="53">
        <f t="shared" si="40"/>
        <v>1558000</v>
      </c>
      <c r="BA91" s="51"/>
      <c r="BB91" s="359">
        <f t="shared" si="33"/>
        <v>0</v>
      </c>
    </row>
    <row r="92" spans="1:56" s="36" customFormat="1" ht="15.75" x14ac:dyDescent="0.25">
      <c r="A92" s="374" t="s">
        <v>649</v>
      </c>
      <c r="B92" s="375" t="s">
        <v>606</v>
      </c>
      <c r="C92" s="52" t="s">
        <v>762</v>
      </c>
      <c r="D92" s="52" t="s">
        <v>777</v>
      </c>
      <c r="E92" s="112" t="s">
        <v>684</v>
      </c>
      <c r="F92" s="52" t="s">
        <v>623</v>
      </c>
      <c r="G92" s="52" t="s">
        <v>320</v>
      </c>
      <c r="H92" s="422" t="s">
        <v>815</v>
      </c>
      <c r="I92" s="329" t="s">
        <v>370</v>
      </c>
      <c r="J92" s="87">
        <v>44578</v>
      </c>
      <c r="K92" s="87">
        <v>44578</v>
      </c>
      <c r="L92" s="87">
        <v>44623</v>
      </c>
      <c r="M92" s="87">
        <f t="shared" si="37"/>
        <v>44623</v>
      </c>
      <c r="N92" s="50">
        <f t="shared" si="41"/>
        <v>45</v>
      </c>
      <c r="O92" s="88">
        <f t="shared" si="38"/>
        <v>45</v>
      </c>
      <c r="P92" s="52" t="s">
        <v>320</v>
      </c>
      <c r="Q92" s="376">
        <f>M92+30</f>
        <v>44653</v>
      </c>
      <c r="R92" s="52">
        <f>Q92+(6*4.3*7)</f>
        <v>44833.599999999999</v>
      </c>
      <c r="S92" s="50">
        <v>5.999999999999952</v>
      </c>
      <c r="T92" s="50">
        <f t="shared" si="39"/>
        <v>5.999999999999952</v>
      </c>
      <c r="U92" s="50"/>
      <c r="V92" s="50"/>
      <c r="W92" s="50"/>
      <c r="X92" s="189">
        <v>540000</v>
      </c>
      <c r="Y92" s="115">
        <v>0</v>
      </c>
      <c r="Z92" s="115">
        <v>0</v>
      </c>
      <c r="AA92" s="115">
        <v>0</v>
      </c>
      <c r="AB92" s="115">
        <v>0</v>
      </c>
      <c r="AC92" s="115">
        <v>0</v>
      </c>
      <c r="AD92" s="115">
        <v>0</v>
      </c>
      <c r="AE92" s="115">
        <v>0</v>
      </c>
      <c r="AF92" s="115">
        <v>0</v>
      </c>
      <c r="AG92" s="115">
        <v>0</v>
      </c>
      <c r="AH92" s="115">
        <v>0</v>
      </c>
      <c r="AI92" s="115">
        <v>0</v>
      </c>
      <c r="AJ92" s="115">
        <v>0</v>
      </c>
      <c r="AK92" s="115">
        <v>0</v>
      </c>
      <c r="AL92" s="58"/>
      <c r="AM92" s="275"/>
      <c r="AN92" s="275">
        <v>25000</v>
      </c>
      <c r="AO92" s="275">
        <v>75000</v>
      </c>
      <c r="AP92" s="275">
        <v>90000</v>
      </c>
      <c r="AQ92" s="275">
        <v>100000</v>
      </c>
      <c r="AR92" s="275">
        <v>100000</v>
      </c>
      <c r="AS92" s="275">
        <v>100000</v>
      </c>
      <c r="AT92" s="275">
        <v>50000</v>
      </c>
      <c r="AU92" s="58"/>
      <c r="AV92" s="58"/>
      <c r="AW92" s="58"/>
      <c r="AX92" s="58"/>
      <c r="AY92" s="47"/>
      <c r="AZ92" s="53">
        <f t="shared" si="40"/>
        <v>540000</v>
      </c>
      <c r="BA92" s="51"/>
      <c r="BB92" s="359">
        <f t="shared" si="33"/>
        <v>0</v>
      </c>
    </row>
    <row r="93" spans="1:56" s="36" customFormat="1" ht="15.75" x14ac:dyDescent="0.25">
      <c r="A93" s="113" t="s">
        <v>650</v>
      </c>
      <c r="B93" s="114" t="s">
        <v>607</v>
      </c>
      <c r="C93" s="52" t="s">
        <v>762</v>
      </c>
      <c r="D93" s="52" t="s">
        <v>630</v>
      </c>
      <c r="E93" s="114" t="s">
        <v>684</v>
      </c>
      <c r="F93" s="52" t="s">
        <v>623</v>
      </c>
      <c r="G93" s="52" t="s">
        <v>320</v>
      </c>
      <c r="H93" s="422" t="s">
        <v>815</v>
      </c>
      <c r="I93" s="329" t="s">
        <v>370</v>
      </c>
      <c r="J93" s="87">
        <v>44564</v>
      </c>
      <c r="K93" s="52">
        <v>44564</v>
      </c>
      <c r="L93" s="52">
        <v>44609</v>
      </c>
      <c r="M93" s="52">
        <f t="shared" si="37"/>
        <v>44609</v>
      </c>
      <c r="N93" s="50">
        <f t="shared" si="41"/>
        <v>45</v>
      </c>
      <c r="O93" s="50">
        <f t="shared" si="38"/>
        <v>45</v>
      </c>
      <c r="P93" s="52" t="s">
        <v>320</v>
      </c>
      <c r="Q93" s="87">
        <v>44652</v>
      </c>
      <c r="R93" s="52">
        <f>Q93+(6*4.3*7)</f>
        <v>44832.6</v>
      </c>
      <c r="S93" s="50">
        <v>5.999999999999952</v>
      </c>
      <c r="T93" s="50">
        <f t="shared" si="39"/>
        <v>5.999999999999952</v>
      </c>
      <c r="U93" s="50"/>
      <c r="V93" s="50"/>
      <c r="W93" s="50"/>
      <c r="X93" s="189">
        <v>800000</v>
      </c>
      <c r="Y93" s="115">
        <v>0</v>
      </c>
      <c r="Z93" s="115">
        <v>0</v>
      </c>
      <c r="AA93" s="115">
        <v>0</v>
      </c>
      <c r="AB93" s="115">
        <v>0</v>
      </c>
      <c r="AC93" s="115">
        <v>0</v>
      </c>
      <c r="AD93" s="115">
        <v>0</v>
      </c>
      <c r="AE93" s="115">
        <v>0</v>
      </c>
      <c r="AF93" s="115">
        <v>0</v>
      </c>
      <c r="AG93" s="115">
        <v>0</v>
      </c>
      <c r="AH93" s="115">
        <v>0</v>
      </c>
      <c r="AI93" s="115">
        <v>0</v>
      </c>
      <c r="AJ93" s="115">
        <v>0</v>
      </c>
      <c r="AK93" s="115">
        <v>0</v>
      </c>
      <c r="AL93" s="58"/>
      <c r="AM93" s="58"/>
      <c r="AN93" s="275">
        <v>75000</v>
      </c>
      <c r="AO93" s="275">
        <v>125000</v>
      </c>
      <c r="AP93" s="275">
        <v>125000</v>
      </c>
      <c r="AQ93" s="275">
        <v>150000</v>
      </c>
      <c r="AR93" s="275">
        <v>150000</v>
      </c>
      <c r="AS93" s="275">
        <v>125000</v>
      </c>
      <c r="AT93" s="275">
        <v>50000</v>
      </c>
      <c r="AU93" s="58"/>
      <c r="AV93" s="58"/>
      <c r="AW93" s="58"/>
      <c r="AX93" s="53"/>
      <c r="AY93" s="47"/>
      <c r="AZ93" s="53">
        <f t="shared" si="40"/>
        <v>800000</v>
      </c>
      <c r="BA93" s="51"/>
      <c r="BB93" s="359">
        <f t="shared" si="33"/>
        <v>0</v>
      </c>
    </row>
    <row r="94" spans="1:56" s="36" customFormat="1" ht="15.75" x14ac:dyDescent="0.25">
      <c r="A94" s="113" t="s">
        <v>651</v>
      </c>
      <c r="B94" s="114" t="s">
        <v>608</v>
      </c>
      <c r="C94" s="52" t="s">
        <v>762</v>
      </c>
      <c r="D94" s="52" t="s">
        <v>630</v>
      </c>
      <c r="E94" s="113" t="s">
        <v>684</v>
      </c>
      <c r="F94" s="52" t="s">
        <v>623</v>
      </c>
      <c r="G94" s="52" t="s">
        <v>320</v>
      </c>
      <c r="H94" s="422" t="s">
        <v>815</v>
      </c>
      <c r="I94" s="329" t="s">
        <v>370</v>
      </c>
      <c r="J94" s="87">
        <v>44564</v>
      </c>
      <c r="K94" s="52">
        <v>44564</v>
      </c>
      <c r="L94" s="52">
        <v>44609</v>
      </c>
      <c r="M94" s="52">
        <f t="shared" si="37"/>
        <v>44609</v>
      </c>
      <c r="N94" s="50">
        <f t="shared" si="41"/>
        <v>45</v>
      </c>
      <c r="O94" s="50">
        <f t="shared" si="38"/>
        <v>45</v>
      </c>
      <c r="P94" s="52" t="s">
        <v>320</v>
      </c>
      <c r="Q94" s="87">
        <v>44652</v>
      </c>
      <c r="R94" s="52">
        <f>Q94+(6*4.3*7)</f>
        <v>44832.6</v>
      </c>
      <c r="S94" s="50">
        <v>5.999999999999952</v>
      </c>
      <c r="T94" s="50">
        <f t="shared" si="39"/>
        <v>5.999999999999952</v>
      </c>
      <c r="U94" s="50"/>
      <c r="V94" s="50"/>
      <c r="W94" s="50"/>
      <c r="X94" s="189">
        <v>690000</v>
      </c>
      <c r="Y94" s="115">
        <v>0</v>
      </c>
      <c r="Z94" s="115">
        <v>0</v>
      </c>
      <c r="AA94" s="115">
        <v>0</v>
      </c>
      <c r="AB94" s="115">
        <v>0</v>
      </c>
      <c r="AC94" s="115">
        <v>0</v>
      </c>
      <c r="AD94" s="115">
        <v>0</v>
      </c>
      <c r="AE94" s="115">
        <v>0</v>
      </c>
      <c r="AF94" s="115">
        <v>0</v>
      </c>
      <c r="AG94" s="115">
        <v>0</v>
      </c>
      <c r="AH94" s="115">
        <v>0</v>
      </c>
      <c r="AI94" s="115">
        <v>0</v>
      </c>
      <c r="AJ94" s="115">
        <v>0</v>
      </c>
      <c r="AK94" s="115">
        <v>0</v>
      </c>
      <c r="AL94" s="58"/>
      <c r="AM94" s="58"/>
      <c r="AN94" s="275">
        <v>50000</v>
      </c>
      <c r="AO94" s="275">
        <v>100000</v>
      </c>
      <c r="AP94" s="275">
        <v>120000</v>
      </c>
      <c r="AQ94" s="275">
        <v>120000</v>
      </c>
      <c r="AR94" s="275">
        <v>120000</v>
      </c>
      <c r="AS94" s="275">
        <v>120000</v>
      </c>
      <c r="AT94" s="275">
        <v>60000</v>
      </c>
      <c r="AU94" s="58"/>
      <c r="AV94" s="58"/>
      <c r="AW94" s="58"/>
      <c r="AX94" s="53"/>
      <c r="AY94" s="47"/>
      <c r="AZ94" s="53">
        <f t="shared" si="40"/>
        <v>690000</v>
      </c>
      <c r="BA94" s="51"/>
      <c r="BB94" s="359">
        <f t="shared" si="33"/>
        <v>0</v>
      </c>
      <c r="BD94" s="55"/>
    </row>
    <row r="95" spans="1:56" s="36" customFormat="1" ht="15.75" x14ac:dyDescent="0.25">
      <c r="A95" s="374" t="s">
        <v>206</v>
      </c>
      <c r="B95" s="375" t="s">
        <v>207</v>
      </c>
      <c r="C95" s="52" t="s">
        <v>45</v>
      </c>
      <c r="D95" s="52" t="s">
        <v>45</v>
      </c>
      <c r="E95" s="35"/>
      <c r="F95" s="52" t="s">
        <v>623</v>
      </c>
      <c r="G95" s="52" t="s">
        <v>320</v>
      </c>
      <c r="H95" s="422" t="s">
        <v>822</v>
      </c>
      <c r="I95" s="87">
        <v>44620</v>
      </c>
      <c r="J95" s="87">
        <v>44592</v>
      </c>
      <c r="K95" s="298">
        <v>44592</v>
      </c>
      <c r="L95" s="299">
        <v>44637</v>
      </c>
      <c r="M95" s="87">
        <f t="shared" si="37"/>
        <v>44637</v>
      </c>
      <c r="N95" s="50">
        <f t="shared" si="41"/>
        <v>45</v>
      </c>
      <c r="O95" s="88">
        <f t="shared" si="38"/>
        <v>45</v>
      </c>
      <c r="P95" s="52" t="s">
        <v>320</v>
      </c>
      <c r="Q95" s="376">
        <v>44638</v>
      </c>
      <c r="R95" s="52">
        <f>Q95+(6*4.3*7)</f>
        <v>44818.6</v>
      </c>
      <c r="S95" s="50">
        <v>5.999999999999952</v>
      </c>
      <c r="T95" s="50">
        <f t="shared" si="39"/>
        <v>5.999999999999952</v>
      </c>
      <c r="U95" s="50"/>
      <c r="V95" s="50"/>
      <c r="W95" s="50"/>
      <c r="X95" s="53">
        <v>2500000</v>
      </c>
      <c r="Y95" s="115">
        <v>0</v>
      </c>
      <c r="Z95" s="115">
        <v>0</v>
      </c>
      <c r="AA95" s="115">
        <v>0</v>
      </c>
      <c r="AB95" s="115">
        <v>0</v>
      </c>
      <c r="AC95" s="115">
        <v>0</v>
      </c>
      <c r="AD95" s="115">
        <v>0</v>
      </c>
      <c r="AE95" s="115">
        <v>0</v>
      </c>
      <c r="AF95" s="115">
        <v>0</v>
      </c>
      <c r="AG95" s="115">
        <v>0</v>
      </c>
      <c r="AH95" s="115">
        <v>0</v>
      </c>
      <c r="AI95" s="115">
        <v>0</v>
      </c>
      <c r="AJ95" s="115">
        <v>0</v>
      </c>
      <c r="AK95" s="115">
        <v>0</v>
      </c>
      <c r="AL95" s="58"/>
      <c r="AM95" s="58"/>
      <c r="AN95" s="275">
        <v>75000</v>
      </c>
      <c r="AO95" s="275">
        <v>125000</v>
      </c>
      <c r="AP95" s="275">
        <v>200000</v>
      </c>
      <c r="AQ95" s="275">
        <v>200000</v>
      </c>
      <c r="AR95" s="275">
        <v>200000</v>
      </c>
      <c r="AS95" s="275">
        <v>200000</v>
      </c>
      <c r="AT95" s="275">
        <v>200000</v>
      </c>
      <c r="AU95" s="275">
        <v>200000</v>
      </c>
      <c r="AV95" s="275">
        <v>200000</v>
      </c>
      <c r="AW95" s="275">
        <v>200000</v>
      </c>
      <c r="AX95" s="275">
        <v>700000</v>
      </c>
      <c r="AY95" s="47"/>
      <c r="AZ95" s="53">
        <f t="shared" si="40"/>
        <v>2500000</v>
      </c>
      <c r="BA95" s="51"/>
      <c r="BB95" s="359">
        <f t="shared" si="33"/>
        <v>0</v>
      </c>
    </row>
    <row r="96" spans="1:56" s="36" customFormat="1" ht="15.75" x14ac:dyDescent="0.25">
      <c r="A96" s="374" t="s">
        <v>208</v>
      </c>
      <c r="B96" s="374" t="s">
        <v>480</v>
      </c>
      <c r="C96" s="394" t="s">
        <v>563</v>
      </c>
      <c r="D96" s="52" t="s">
        <v>401</v>
      </c>
      <c r="E96" s="390" t="s">
        <v>694</v>
      </c>
      <c r="F96" s="52" t="s">
        <v>623</v>
      </c>
      <c r="G96" s="52" t="s">
        <v>320</v>
      </c>
      <c r="H96" s="394" t="s">
        <v>823</v>
      </c>
      <c r="I96" s="329" t="s">
        <v>370</v>
      </c>
      <c r="J96" s="87">
        <v>44519</v>
      </c>
      <c r="K96" s="329">
        <v>44519</v>
      </c>
      <c r="L96" s="298">
        <v>44567</v>
      </c>
      <c r="M96" s="87">
        <v>44567</v>
      </c>
      <c r="N96" s="50">
        <f t="shared" si="41"/>
        <v>48</v>
      </c>
      <c r="O96" s="88">
        <f t="shared" si="38"/>
        <v>48</v>
      </c>
      <c r="P96" s="52" t="s">
        <v>320</v>
      </c>
      <c r="Q96" s="376">
        <v>44581</v>
      </c>
      <c r="R96" s="52">
        <f>Q96+(9*4.3*7)</f>
        <v>44851.9</v>
      </c>
      <c r="S96" s="50">
        <v>9.0000000000000497</v>
      </c>
      <c r="T96" s="50">
        <f t="shared" si="39"/>
        <v>9.0000000000000497</v>
      </c>
      <c r="U96" s="50"/>
      <c r="V96" s="50"/>
      <c r="W96" s="50"/>
      <c r="X96" s="53">
        <v>2200000</v>
      </c>
      <c r="Y96" s="115">
        <v>0</v>
      </c>
      <c r="Z96" s="115">
        <v>0</v>
      </c>
      <c r="AA96" s="115">
        <v>0</v>
      </c>
      <c r="AB96" s="115">
        <v>0</v>
      </c>
      <c r="AC96" s="115">
        <v>0</v>
      </c>
      <c r="AD96" s="115">
        <v>0</v>
      </c>
      <c r="AE96" s="115">
        <v>0</v>
      </c>
      <c r="AF96" s="115">
        <v>0</v>
      </c>
      <c r="AG96" s="115">
        <v>0</v>
      </c>
      <c r="AH96" s="115">
        <v>0</v>
      </c>
      <c r="AI96" s="115">
        <v>0</v>
      </c>
      <c r="AJ96" s="115">
        <v>0</v>
      </c>
      <c r="AK96" s="115">
        <v>0</v>
      </c>
      <c r="AL96" s="275">
        <v>150000</v>
      </c>
      <c r="AM96" s="275">
        <v>200000</v>
      </c>
      <c r="AN96" s="275">
        <v>200000</v>
      </c>
      <c r="AO96" s="275">
        <v>200000</v>
      </c>
      <c r="AP96" s="275">
        <v>200000</v>
      </c>
      <c r="AQ96" s="275">
        <v>200000</v>
      </c>
      <c r="AR96" s="275">
        <v>200000</v>
      </c>
      <c r="AS96" s="275">
        <v>200000</v>
      </c>
      <c r="AT96" s="275">
        <v>200000</v>
      </c>
      <c r="AU96" s="275">
        <v>150000</v>
      </c>
      <c r="AV96" s="58">
        <v>150000</v>
      </c>
      <c r="AW96" s="58"/>
      <c r="AX96" s="53"/>
      <c r="AY96" s="47"/>
      <c r="AZ96" s="53">
        <f t="shared" si="40"/>
        <v>2050000</v>
      </c>
      <c r="BA96" s="51"/>
      <c r="BB96" s="359">
        <f t="shared" si="33"/>
        <v>-150000</v>
      </c>
    </row>
    <row r="97" spans="1:56" s="36" customFormat="1" ht="15.75" x14ac:dyDescent="0.25">
      <c r="A97" s="111" t="s">
        <v>591</v>
      </c>
      <c r="B97" s="112" t="s">
        <v>592</v>
      </c>
      <c r="C97" s="52" t="s">
        <v>45</v>
      </c>
      <c r="D97" s="52" t="s">
        <v>45</v>
      </c>
      <c r="E97" s="34" t="s">
        <v>698</v>
      </c>
      <c r="F97" s="52" t="s">
        <v>623</v>
      </c>
      <c r="G97" s="52" t="s">
        <v>320</v>
      </c>
      <c r="H97" s="52" t="s">
        <v>825</v>
      </c>
      <c r="I97" s="87">
        <v>44713</v>
      </c>
      <c r="J97" s="87">
        <v>44668</v>
      </c>
      <c r="K97" s="52">
        <v>44668</v>
      </c>
      <c r="L97" s="52">
        <v>44713</v>
      </c>
      <c r="M97" s="52">
        <f>K97+45</f>
        <v>44713</v>
      </c>
      <c r="N97" s="50">
        <f t="shared" si="41"/>
        <v>45</v>
      </c>
      <c r="O97" s="50">
        <f t="shared" si="38"/>
        <v>45</v>
      </c>
      <c r="P97" s="52" t="s">
        <v>320</v>
      </c>
      <c r="Q97" s="52">
        <v>44713</v>
      </c>
      <c r="R97" s="52">
        <f>Q97+(6*4.3*7)</f>
        <v>44893.599999999999</v>
      </c>
      <c r="S97" s="50">
        <v>5.999999999999952</v>
      </c>
      <c r="T97" s="50">
        <f t="shared" si="39"/>
        <v>5.999999999999952</v>
      </c>
      <c r="U97" s="50"/>
      <c r="V97" s="50"/>
      <c r="W97" s="50"/>
      <c r="X97" s="53">
        <v>400000</v>
      </c>
      <c r="Y97" s="115">
        <v>0</v>
      </c>
      <c r="Z97" s="115">
        <v>0</v>
      </c>
      <c r="AA97" s="115">
        <v>0</v>
      </c>
      <c r="AB97" s="115">
        <v>0</v>
      </c>
      <c r="AC97" s="115">
        <v>0</v>
      </c>
      <c r="AD97" s="115">
        <v>0</v>
      </c>
      <c r="AE97" s="115">
        <v>0</v>
      </c>
      <c r="AF97" s="115">
        <v>0</v>
      </c>
      <c r="AG97" s="115">
        <v>0</v>
      </c>
      <c r="AH97" s="115">
        <v>0</v>
      </c>
      <c r="AI97" s="115">
        <v>0</v>
      </c>
      <c r="AJ97" s="115">
        <v>0</v>
      </c>
      <c r="AK97" s="115">
        <v>0</v>
      </c>
      <c r="AL97" s="275">
        <v>50000</v>
      </c>
      <c r="AM97" s="275">
        <v>50000</v>
      </c>
      <c r="AN97" s="275">
        <v>60000</v>
      </c>
      <c r="AO97" s="275">
        <v>60000</v>
      </c>
      <c r="AP97" s="275">
        <v>60000</v>
      </c>
      <c r="AQ97" s="275">
        <v>45000</v>
      </c>
      <c r="AR97" s="58"/>
      <c r="AS97" s="58"/>
      <c r="AT97" s="58"/>
      <c r="AU97" s="58"/>
      <c r="AV97" s="58">
        <v>25000</v>
      </c>
      <c r="AW97" s="58"/>
      <c r="AX97" s="58"/>
      <c r="AY97" s="47"/>
      <c r="AZ97" s="53">
        <f t="shared" si="40"/>
        <v>350000</v>
      </c>
      <c r="BA97" s="51"/>
      <c r="BB97" s="359">
        <f t="shared" si="33"/>
        <v>-50000</v>
      </c>
      <c r="BD97" s="55"/>
    </row>
    <row r="98" spans="1:56" s="36" customFormat="1" ht="15.75" x14ac:dyDescent="0.25">
      <c r="A98" s="113" t="s">
        <v>717</v>
      </c>
      <c r="B98" s="114" t="s">
        <v>524</v>
      </c>
      <c r="C98" s="52" t="s">
        <v>45</v>
      </c>
      <c r="D98" s="52" t="s">
        <v>45</v>
      </c>
      <c r="E98" s="34" t="s">
        <v>522</v>
      </c>
      <c r="F98" s="52" t="s">
        <v>623</v>
      </c>
      <c r="G98" s="52" t="s">
        <v>320</v>
      </c>
      <c r="H98" s="52" t="s">
        <v>824</v>
      </c>
      <c r="I98" s="109">
        <v>44652</v>
      </c>
      <c r="J98" s="87">
        <v>44668</v>
      </c>
      <c r="K98" s="52">
        <v>44668</v>
      </c>
      <c r="L98" s="52">
        <v>44713</v>
      </c>
      <c r="M98" s="52">
        <f>K98+45</f>
        <v>44713</v>
      </c>
      <c r="N98" s="50">
        <f t="shared" si="41"/>
        <v>45</v>
      </c>
      <c r="O98" s="50">
        <f t="shared" si="38"/>
        <v>45</v>
      </c>
      <c r="P98" s="52" t="s">
        <v>320</v>
      </c>
      <c r="Q98" s="87">
        <v>44713</v>
      </c>
      <c r="R98" s="52">
        <f>Q98+(10*4.3*7)</f>
        <v>45014</v>
      </c>
      <c r="S98" s="50">
        <v>10</v>
      </c>
      <c r="T98" s="50">
        <f t="shared" si="39"/>
        <v>10</v>
      </c>
      <c r="U98" s="50"/>
      <c r="V98" s="50"/>
      <c r="W98" s="50"/>
      <c r="X98" s="53">
        <v>3000000</v>
      </c>
      <c r="Y98" s="115">
        <v>0</v>
      </c>
      <c r="Z98" s="115">
        <v>0</v>
      </c>
      <c r="AA98" s="115">
        <v>0</v>
      </c>
      <c r="AB98" s="115">
        <v>0</v>
      </c>
      <c r="AC98" s="115">
        <v>0</v>
      </c>
      <c r="AD98" s="115">
        <v>0</v>
      </c>
      <c r="AE98" s="115">
        <v>0</v>
      </c>
      <c r="AF98" s="115">
        <v>0</v>
      </c>
      <c r="AG98" s="115">
        <v>0</v>
      </c>
      <c r="AH98" s="115">
        <v>0</v>
      </c>
      <c r="AI98" s="115">
        <v>0</v>
      </c>
      <c r="AJ98" s="115">
        <v>0</v>
      </c>
      <c r="AK98" s="115">
        <v>0</v>
      </c>
      <c r="AL98" s="58"/>
      <c r="AM98" s="58"/>
      <c r="AN98" s="275">
        <v>125000</v>
      </c>
      <c r="AO98" s="275">
        <v>250000</v>
      </c>
      <c r="AP98" s="275">
        <v>300000</v>
      </c>
      <c r="AQ98" s="275">
        <v>300000</v>
      </c>
      <c r="AR98" s="275">
        <v>300000</v>
      </c>
      <c r="AS98" s="275">
        <v>300000</v>
      </c>
      <c r="AT98" s="275">
        <v>300000</v>
      </c>
      <c r="AU98" s="275">
        <v>300000</v>
      </c>
      <c r="AV98" s="275">
        <v>300000</v>
      </c>
      <c r="AW98" s="275">
        <v>300000</v>
      </c>
      <c r="AX98" s="275">
        <v>225000</v>
      </c>
      <c r="AY98" s="47"/>
      <c r="AZ98" s="53">
        <f t="shared" si="40"/>
        <v>3000000</v>
      </c>
      <c r="BA98" s="51"/>
      <c r="BB98" s="359">
        <f t="shared" si="33"/>
        <v>0</v>
      </c>
    </row>
    <row r="99" spans="1:56" s="36" customFormat="1" ht="15.75" x14ac:dyDescent="0.25">
      <c r="A99" s="374" t="s">
        <v>718</v>
      </c>
      <c r="B99" s="374" t="s">
        <v>660</v>
      </c>
      <c r="C99" s="52" t="s">
        <v>45</v>
      </c>
      <c r="D99" s="52" t="s">
        <v>45</v>
      </c>
      <c r="E99" s="35"/>
      <c r="F99" s="52" t="s">
        <v>623</v>
      </c>
      <c r="G99" s="52" t="s">
        <v>370</v>
      </c>
      <c r="H99" s="422" t="s">
        <v>826</v>
      </c>
      <c r="I99" s="330">
        <v>44544</v>
      </c>
      <c r="J99" s="87">
        <v>44564</v>
      </c>
      <c r="K99" s="87">
        <v>44589</v>
      </c>
      <c r="L99" s="52">
        <v>44619</v>
      </c>
      <c r="M99" s="87">
        <f>K99+30</f>
        <v>44619</v>
      </c>
      <c r="N99" s="50">
        <f t="shared" si="41"/>
        <v>55</v>
      </c>
      <c r="O99" s="88">
        <f t="shared" si="38"/>
        <v>30</v>
      </c>
      <c r="P99" s="52" t="s">
        <v>320</v>
      </c>
      <c r="Q99" s="376">
        <v>44613</v>
      </c>
      <c r="R99" s="52">
        <f>Q99+(6*4.3*7)</f>
        <v>44793.599999999999</v>
      </c>
      <c r="S99" s="50">
        <v>5.999999999999952</v>
      </c>
      <c r="T99" s="50">
        <f t="shared" si="39"/>
        <v>5.999999999999952</v>
      </c>
      <c r="U99" s="50"/>
      <c r="V99" s="50"/>
      <c r="W99" s="50"/>
      <c r="X99" s="53">
        <v>680000</v>
      </c>
      <c r="Y99" s="115">
        <v>0</v>
      </c>
      <c r="Z99" s="115">
        <v>0</v>
      </c>
      <c r="AA99" s="115">
        <v>0</v>
      </c>
      <c r="AB99" s="115">
        <v>0</v>
      </c>
      <c r="AC99" s="115">
        <v>0</v>
      </c>
      <c r="AD99" s="115">
        <v>0</v>
      </c>
      <c r="AE99" s="115">
        <v>0</v>
      </c>
      <c r="AF99" s="115">
        <v>0</v>
      </c>
      <c r="AG99" s="115">
        <v>0</v>
      </c>
      <c r="AH99" s="115">
        <v>0</v>
      </c>
      <c r="AI99" s="115">
        <v>0</v>
      </c>
      <c r="AJ99" s="115">
        <v>0</v>
      </c>
      <c r="AK99" s="115">
        <v>269645.40000000002</v>
      </c>
      <c r="AL99" s="58"/>
      <c r="AM99" s="58"/>
      <c r="AN99" s="275">
        <v>125000</v>
      </c>
      <c r="AO99" s="275">
        <v>125000</v>
      </c>
      <c r="AP99" s="275">
        <v>125000</v>
      </c>
      <c r="AQ99" s="275">
        <v>105000</v>
      </c>
      <c r="AR99" s="275"/>
      <c r="AS99" s="275"/>
      <c r="AT99" s="275"/>
      <c r="AU99" s="58"/>
      <c r="AV99" s="58">
        <v>200000</v>
      </c>
      <c r="AW99" s="58"/>
      <c r="AX99" s="53"/>
      <c r="AY99" s="47"/>
      <c r="AZ99" s="53">
        <f t="shared" si="40"/>
        <v>949645.4</v>
      </c>
      <c r="BA99" s="51"/>
      <c r="BB99" s="359">
        <f t="shared" si="33"/>
        <v>269645.40000000002</v>
      </c>
    </row>
    <row r="100" spans="1:56" s="36" customFormat="1" ht="15.75" x14ac:dyDescent="0.25">
      <c r="A100" s="374" t="s">
        <v>719</v>
      </c>
      <c r="B100" s="374" t="s">
        <v>661</v>
      </c>
      <c r="C100" s="52" t="s">
        <v>45</v>
      </c>
      <c r="D100" s="52" t="s">
        <v>45</v>
      </c>
      <c r="E100" s="34"/>
      <c r="F100" s="52" t="s">
        <v>623</v>
      </c>
      <c r="G100" s="52" t="s">
        <v>320</v>
      </c>
      <c r="H100" s="422" t="s">
        <v>826</v>
      </c>
      <c r="I100" s="329">
        <v>44544</v>
      </c>
      <c r="J100" s="87">
        <v>44589</v>
      </c>
      <c r="K100" s="87">
        <v>44589</v>
      </c>
      <c r="L100" s="52">
        <v>44619</v>
      </c>
      <c r="M100" s="87">
        <f>K100+30</f>
        <v>44619</v>
      </c>
      <c r="N100" s="50">
        <f t="shared" si="41"/>
        <v>30</v>
      </c>
      <c r="O100" s="88">
        <f t="shared" si="38"/>
        <v>30</v>
      </c>
      <c r="P100" s="52" t="s">
        <v>320</v>
      </c>
      <c r="Q100" s="376">
        <v>44613</v>
      </c>
      <c r="R100" s="52">
        <v>44804</v>
      </c>
      <c r="S100" s="50">
        <v>6.3455149501661126</v>
      </c>
      <c r="T100" s="50">
        <f t="shared" si="39"/>
        <v>6.3455149501661126</v>
      </c>
      <c r="U100" s="50"/>
      <c r="V100" s="50"/>
      <c r="W100" s="50" t="s">
        <v>370</v>
      </c>
      <c r="X100" s="182">
        <v>2859947</v>
      </c>
      <c r="Y100" s="115">
        <v>0</v>
      </c>
      <c r="Z100" s="115">
        <v>0</v>
      </c>
      <c r="AA100" s="115">
        <v>0</v>
      </c>
      <c r="AB100" s="115">
        <v>0</v>
      </c>
      <c r="AC100" s="115">
        <v>0</v>
      </c>
      <c r="AD100" s="115">
        <v>0</v>
      </c>
      <c r="AE100" s="115">
        <v>0</v>
      </c>
      <c r="AF100" s="115">
        <v>0</v>
      </c>
      <c r="AG100" s="115">
        <v>0</v>
      </c>
      <c r="AH100" s="115">
        <v>0</v>
      </c>
      <c r="AI100" s="115">
        <v>0</v>
      </c>
      <c r="AJ100" s="115">
        <v>0</v>
      </c>
      <c r="AK100" s="115">
        <v>0</v>
      </c>
      <c r="AL100" s="58"/>
      <c r="AM100" s="58"/>
      <c r="AN100" s="275">
        <v>250000</v>
      </c>
      <c r="AO100" s="275">
        <v>250000</v>
      </c>
      <c r="AP100" s="275">
        <v>250000</v>
      </c>
      <c r="AQ100" s="275">
        <v>300000</v>
      </c>
      <c r="AR100" s="275">
        <v>300000</v>
      </c>
      <c r="AS100" s="275">
        <v>300000</v>
      </c>
      <c r="AT100" s="275">
        <v>205000</v>
      </c>
      <c r="AU100" s="58"/>
      <c r="AV100" s="58">
        <v>325000</v>
      </c>
      <c r="AW100" s="58"/>
      <c r="AX100" s="58"/>
      <c r="AY100" s="47"/>
      <c r="AZ100" s="53">
        <f t="shared" si="40"/>
        <v>2180000</v>
      </c>
      <c r="BA100" s="51"/>
      <c r="BB100" s="359">
        <f t="shared" si="33"/>
        <v>-679947</v>
      </c>
    </row>
    <row r="101" spans="1:56" s="36" customFormat="1" ht="15.75" x14ac:dyDescent="0.25">
      <c r="A101" s="374" t="s">
        <v>724</v>
      </c>
      <c r="B101" s="374" t="s">
        <v>654</v>
      </c>
      <c r="C101" s="394" t="s">
        <v>373</v>
      </c>
      <c r="D101" s="52" t="s">
        <v>45</v>
      </c>
      <c r="E101" s="390"/>
      <c r="F101" s="52" t="s">
        <v>623</v>
      </c>
      <c r="G101" s="52" t="s">
        <v>320</v>
      </c>
      <c r="H101" s="394" t="s">
        <v>827</v>
      </c>
      <c r="I101" s="329">
        <v>44574</v>
      </c>
      <c r="J101" s="87">
        <v>44543</v>
      </c>
      <c r="K101" s="329">
        <v>44575</v>
      </c>
      <c r="L101" s="87">
        <v>44578</v>
      </c>
      <c r="M101" s="440">
        <v>44578</v>
      </c>
      <c r="N101" s="50">
        <f t="shared" si="41"/>
        <v>35</v>
      </c>
      <c r="O101" s="88">
        <f t="shared" si="38"/>
        <v>3</v>
      </c>
      <c r="P101" s="52" t="s">
        <v>320</v>
      </c>
      <c r="Q101" s="376">
        <v>44578</v>
      </c>
      <c r="R101" s="52">
        <f>Q101+(9*4.3*7)</f>
        <v>44848.9</v>
      </c>
      <c r="S101" s="50">
        <v>9.0000000000000497</v>
      </c>
      <c r="T101" s="50">
        <f t="shared" si="39"/>
        <v>9.0000000000000497</v>
      </c>
      <c r="U101" s="50"/>
      <c r="V101" s="50"/>
      <c r="W101" s="50"/>
      <c r="X101" s="53">
        <v>1500000</v>
      </c>
      <c r="Y101" s="115">
        <v>0</v>
      </c>
      <c r="Z101" s="115">
        <v>0</v>
      </c>
      <c r="AA101" s="115">
        <v>0</v>
      </c>
      <c r="AB101" s="115">
        <v>0</v>
      </c>
      <c r="AC101" s="115">
        <v>0</v>
      </c>
      <c r="AD101" s="115">
        <v>0</v>
      </c>
      <c r="AE101" s="115">
        <v>0</v>
      </c>
      <c r="AF101" s="115">
        <v>0</v>
      </c>
      <c r="AG101" s="115">
        <v>0</v>
      </c>
      <c r="AH101" s="115">
        <v>0</v>
      </c>
      <c r="AI101" s="115">
        <v>0</v>
      </c>
      <c r="AJ101" s="115">
        <v>0</v>
      </c>
      <c r="AK101" s="115">
        <v>0</v>
      </c>
      <c r="AL101" s="58"/>
      <c r="AM101" s="275"/>
      <c r="AN101" s="275">
        <v>50000</v>
      </c>
      <c r="AO101" s="275">
        <v>100000</v>
      </c>
      <c r="AP101" s="275">
        <v>150000</v>
      </c>
      <c r="AQ101" s="275">
        <v>175000</v>
      </c>
      <c r="AR101" s="275">
        <v>175000</v>
      </c>
      <c r="AS101" s="275">
        <v>175000</v>
      </c>
      <c r="AT101" s="275">
        <v>175000</v>
      </c>
      <c r="AU101" s="275">
        <v>175000</v>
      </c>
      <c r="AV101" s="275">
        <v>175000</v>
      </c>
      <c r="AW101" s="275">
        <v>150000</v>
      </c>
      <c r="AX101" s="53"/>
      <c r="AY101" s="47"/>
      <c r="AZ101" s="53">
        <f t="shared" si="40"/>
        <v>1500000</v>
      </c>
      <c r="BA101" s="51"/>
      <c r="BB101" s="359">
        <f t="shared" si="33"/>
        <v>0</v>
      </c>
    </row>
    <row r="102" spans="1:56" s="36" customFormat="1" ht="15.75" x14ac:dyDescent="0.25">
      <c r="A102" s="374" t="s">
        <v>725</v>
      </c>
      <c r="B102" s="374" t="s">
        <v>663</v>
      </c>
      <c r="C102" s="52" t="s">
        <v>45</v>
      </c>
      <c r="D102" s="52" t="s">
        <v>45</v>
      </c>
      <c r="E102" s="61"/>
      <c r="F102" s="52" t="s">
        <v>623</v>
      </c>
      <c r="G102" s="52" t="s">
        <v>320</v>
      </c>
      <c r="H102" s="394" t="s">
        <v>827</v>
      </c>
      <c r="I102" s="329">
        <v>44574</v>
      </c>
      <c r="J102" s="87">
        <v>44575</v>
      </c>
      <c r="K102" s="87">
        <v>44575</v>
      </c>
      <c r="L102" s="87">
        <v>44620</v>
      </c>
      <c r="M102" s="87">
        <f>K102+45</f>
        <v>44620</v>
      </c>
      <c r="N102" s="50">
        <f t="shared" si="41"/>
        <v>45</v>
      </c>
      <c r="O102" s="88">
        <f t="shared" si="38"/>
        <v>45</v>
      </c>
      <c r="P102" s="52" t="s">
        <v>320</v>
      </c>
      <c r="Q102" s="376">
        <f>M102+30</f>
        <v>44650</v>
      </c>
      <c r="R102" s="52">
        <f>Q102+(4*4.3*7)</f>
        <v>44770.400000000001</v>
      </c>
      <c r="S102" s="50">
        <v>4.0000000000000488</v>
      </c>
      <c r="T102" s="50">
        <f t="shared" si="39"/>
        <v>4.0000000000000488</v>
      </c>
      <c r="U102" s="50"/>
      <c r="V102" s="50"/>
      <c r="W102" s="50"/>
      <c r="X102" s="53">
        <v>350000</v>
      </c>
      <c r="Y102" s="115">
        <v>0</v>
      </c>
      <c r="Z102" s="115">
        <v>0</v>
      </c>
      <c r="AA102" s="115">
        <v>0</v>
      </c>
      <c r="AB102" s="115">
        <v>0</v>
      </c>
      <c r="AC102" s="115">
        <v>0</v>
      </c>
      <c r="AD102" s="115">
        <v>0</v>
      </c>
      <c r="AE102" s="115">
        <v>0</v>
      </c>
      <c r="AF102" s="115">
        <v>0</v>
      </c>
      <c r="AG102" s="115">
        <v>0</v>
      </c>
      <c r="AH102" s="115">
        <v>0</v>
      </c>
      <c r="AI102" s="115">
        <v>0</v>
      </c>
      <c r="AJ102" s="115">
        <v>0</v>
      </c>
      <c r="AK102" s="115">
        <v>0</v>
      </c>
      <c r="AL102" s="58"/>
      <c r="AM102" s="58"/>
      <c r="AN102" s="275">
        <v>150000</v>
      </c>
      <c r="AO102" s="275">
        <v>50000</v>
      </c>
      <c r="AP102" s="58"/>
      <c r="AQ102" s="58"/>
      <c r="AR102" s="58"/>
      <c r="AS102" s="58"/>
      <c r="AT102" s="58"/>
      <c r="AU102" s="58"/>
      <c r="AV102" s="58">
        <v>150000</v>
      </c>
      <c r="AW102" s="58"/>
      <c r="AX102" s="53"/>
      <c r="AY102" s="47"/>
      <c r="AZ102" s="53">
        <f t="shared" si="40"/>
        <v>350000</v>
      </c>
      <c r="BA102" s="51"/>
      <c r="BB102" s="359">
        <f t="shared" si="33"/>
        <v>0</v>
      </c>
    </row>
    <row r="103" spans="1:56" s="36" customFormat="1" ht="15.75" x14ac:dyDescent="0.25">
      <c r="A103" s="374" t="s">
        <v>726</v>
      </c>
      <c r="B103" s="374" t="s">
        <v>662</v>
      </c>
      <c r="C103" s="52" t="s">
        <v>45</v>
      </c>
      <c r="D103" s="52" t="s">
        <v>45</v>
      </c>
      <c r="E103" s="61"/>
      <c r="F103" s="52" t="s">
        <v>623</v>
      </c>
      <c r="G103" s="52" t="s">
        <v>320</v>
      </c>
      <c r="H103" s="394" t="s">
        <v>827</v>
      </c>
      <c r="I103" s="329">
        <v>44574</v>
      </c>
      <c r="J103" s="87">
        <v>44575</v>
      </c>
      <c r="K103" s="87">
        <v>44575</v>
      </c>
      <c r="L103" s="87">
        <v>44620</v>
      </c>
      <c r="M103" s="87">
        <f>K103+45</f>
        <v>44620</v>
      </c>
      <c r="N103" s="50">
        <f t="shared" si="41"/>
        <v>45</v>
      </c>
      <c r="O103" s="88">
        <f t="shared" si="38"/>
        <v>45</v>
      </c>
      <c r="P103" s="52" t="s">
        <v>320</v>
      </c>
      <c r="Q103" s="376">
        <f>M103+30</f>
        <v>44650</v>
      </c>
      <c r="R103" s="52">
        <f>Q103+(4*4.3*7)</f>
        <v>44770.400000000001</v>
      </c>
      <c r="S103" s="50">
        <v>4.0000000000000488</v>
      </c>
      <c r="T103" s="50">
        <f t="shared" si="39"/>
        <v>4.0000000000000488</v>
      </c>
      <c r="U103" s="50"/>
      <c r="V103" s="50"/>
      <c r="W103" s="50"/>
      <c r="X103" s="53">
        <v>450000</v>
      </c>
      <c r="Y103" s="115">
        <v>0</v>
      </c>
      <c r="Z103" s="115">
        <v>0</v>
      </c>
      <c r="AA103" s="115">
        <v>0</v>
      </c>
      <c r="AB103" s="115">
        <v>0</v>
      </c>
      <c r="AC103" s="115">
        <v>0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115">
        <v>0</v>
      </c>
      <c r="AJ103" s="115">
        <v>0</v>
      </c>
      <c r="AK103" s="115">
        <v>0</v>
      </c>
      <c r="AL103" s="58"/>
      <c r="AM103" s="58"/>
      <c r="AN103" s="58"/>
      <c r="AO103" s="275">
        <v>50000</v>
      </c>
      <c r="AP103" s="275">
        <v>75000</v>
      </c>
      <c r="AQ103" s="275">
        <v>75000</v>
      </c>
      <c r="AR103" s="275">
        <v>75000</v>
      </c>
      <c r="AS103" s="275">
        <v>75000</v>
      </c>
      <c r="AT103" s="275">
        <v>75000</v>
      </c>
      <c r="AU103" s="275">
        <v>25000</v>
      </c>
      <c r="AV103" s="58"/>
      <c r="AW103" s="58"/>
      <c r="AX103" s="53"/>
      <c r="AY103" s="47"/>
      <c r="AZ103" s="53">
        <f t="shared" si="40"/>
        <v>450000</v>
      </c>
      <c r="BA103" s="51"/>
      <c r="BB103" s="359">
        <f t="shared" si="33"/>
        <v>0</v>
      </c>
    </row>
    <row r="104" spans="1:56" s="36" customFormat="1" ht="15.75" x14ac:dyDescent="0.25">
      <c r="A104" s="374" t="s">
        <v>727</v>
      </c>
      <c r="B104" s="374" t="s">
        <v>653</v>
      </c>
      <c r="C104" s="52" t="s">
        <v>563</v>
      </c>
      <c r="D104" s="52" t="s">
        <v>633</v>
      </c>
      <c r="E104" s="61"/>
      <c r="F104" s="52" t="s">
        <v>623</v>
      </c>
      <c r="G104" s="52" t="s">
        <v>320</v>
      </c>
      <c r="H104" s="423" t="s">
        <v>828</v>
      </c>
      <c r="I104" s="329">
        <v>44575</v>
      </c>
      <c r="J104" s="87">
        <v>44543</v>
      </c>
      <c r="K104" s="329">
        <v>44575</v>
      </c>
      <c r="L104" s="298">
        <v>44574</v>
      </c>
      <c r="M104" s="329">
        <v>44582</v>
      </c>
      <c r="N104" s="50">
        <f t="shared" si="41"/>
        <v>31</v>
      </c>
      <c r="O104" s="346">
        <f t="shared" si="38"/>
        <v>7</v>
      </c>
      <c r="P104" s="52" t="s">
        <v>370</v>
      </c>
      <c r="Q104" s="376">
        <v>44606</v>
      </c>
      <c r="R104" s="52">
        <f>Q104+(8*4.3*7)</f>
        <v>44846.8</v>
      </c>
      <c r="S104" s="50">
        <v>8.0000000000000977</v>
      </c>
      <c r="T104" s="50">
        <f t="shared" si="39"/>
        <v>8.0000000000000977</v>
      </c>
      <c r="U104" s="50"/>
      <c r="V104" s="50"/>
      <c r="W104" s="50"/>
      <c r="X104" s="53">
        <v>1200000</v>
      </c>
      <c r="Y104" s="115">
        <v>0</v>
      </c>
      <c r="Z104" s="115">
        <v>0</v>
      </c>
      <c r="AA104" s="115">
        <v>0</v>
      </c>
      <c r="AB104" s="115">
        <v>0</v>
      </c>
      <c r="AC104" s="115">
        <v>0</v>
      </c>
      <c r="AD104" s="115">
        <v>0</v>
      </c>
      <c r="AE104" s="115">
        <v>0</v>
      </c>
      <c r="AF104" s="115">
        <v>0</v>
      </c>
      <c r="AG104" s="115">
        <v>0</v>
      </c>
      <c r="AH104" s="115">
        <v>0</v>
      </c>
      <c r="AI104" s="115">
        <v>0</v>
      </c>
      <c r="AJ104" s="115">
        <v>0</v>
      </c>
      <c r="AK104" s="115">
        <v>0</v>
      </c>
      <c r="AL104" s="275">
        <v>50000</v>
      </c>
      <c r="AM104" s="275">
        <v>50000</v>
      </c>
      <c r="AN104" s="275">
        <v>75000</v>
      </c>
      <c r="AO104" s="275">
        <v>150000</v>
      </c>
      <c r="AP104" s="275">
        <v>150000</v>
      </c>
      <c r="AQ104" s="275">
        <v>200000</v>
      </c>
      <c r="AR104" s="275">
        <v>200000</v>
      </c>
      <c r="AS104" s="275">
        <v>200000</v>
      </c>
      <c r="AT104" s="275">
        <v>125000</v>
      </c>
      <c r="AU104" s="58"/>
      <c r="AV104" s="58"/>
      <c r="AW104" s="58"/>
      <c r="AX104" s="53"/>
      <c r="AY104" s="47"/>
      <c r="AZ104" s="53">
        <f t="shared" si="40"/>
        <v>1200000</v>
      </c>
      <c r="BA104" s="51"/>
      <c r="BB104" s="359">
        <f t="shared" si="33"/>
        <v>0</v>
      </c>
    </row>
    <row r="105" spans="1:56" s="36" customFormat="1" ht="15.75" x14ac:dyDescent="0.25">
      <c r="A105" s="374" t="s">
        <v>729</v>
      </c>
      <c r="B105" s="374" t="s">
        <v>730</v>
      </c>
      <c r="C105" s="394" t="s">
        <v>45</v>
      </c>
      <c r="D105" s="52" t="s">
        <v>45</v>
      </c>
      <c r="E105" s="390"/>
      <c r="F105" s="52" t="s">
        <v>623</v>
      </c>
      <c r="G105" s="52" t="s">
        <v>320</v>
      </c>
      <c r="H105" s="423" t="s">
        <v>828</v>
      </c>
      <c r="I105" s="329">
        <v>44575</v>
      </c>
      <c r="J105" s="87">
        <v>44560</v>
      </c>
      <c r="K105" s="87">
        <v>44591</v>
      </c>
      <c r="L105" s="87">
        <v>44636</v>
      </c>
      <c r="M105" s="87">
        <f t="shared" ref="M105:M120" si="42">K105+45</f>
        <v>44636</v>
      </c>
      <c r="N105" s="50">
        <f t="shared" si="41"/>
        <v>76</v>
      </c>
      <c r="O105" s="50">
        <f t="shared" si="38"/>
        <v>45</v>
      </c>
      <c r="P105" s="52" t="s">
        <v>320</v>
      </c>
      <c r="Q105" s="376">
        <f>M105+30</f>
        <v>44666</v>
      </c>
      <c r="R105" s="52">
        <f>Q105+(4*4.3*7)</f>
        <v>44786.400000000001</v>
      </c>
      <c r="S105" s="50">
        <v>4.0000000000000488</v>
      </c>
      <c r="T105" s="50">
        <f t="shared" si="39"/>
        <v>4.0000000000000488</v>
      </c>
      <c r="U105" s="50"/>
      <c r="V105" s="50"/>
      <c r="W105" s="50"/>
      <c r="X105" s="53">
        <v>350000</v>
      </c>
      <c r="Y105" s="115">
        <v>0</v>
      </c>
      <c r="Z105" s="115">
        <v>0</v>
      </c>
      <c r="AA105" s="115">
        <v>0</v>
      </c>
      <c r="AB105" s="115">
        <v>0</v>
      </c>
      <c r="AC105" s="115">
        <v>0</v>
      </c>
      <c r="AD105" s="115">
        <v>0</v>
      </c>
      <c r="AE105" s="115">
        <v>0</v>
      </c>
      <c r="AF105" s="115">
        <v>0</v>
      </c>
      <c r="AG105" s="115">
        <v>0</v>
      </c>
      <c r="AH105" s="115">
        <v>0</v>
      </c>
      <c r="AI105" s="115">
        <v>0</v>
      </c>
      <c r="AJ105" s="115">
        <v>0</v>
      </c>
      <c r="AK105" s="115">
        <v>0</v>
      </c>
      <c r="AL105" s="58"/>
      <c r="AM105" s="58"/>
      <c r="AN105" s="275">
        <v>50000</v>
      </c>
      <c r="AO105" s="275">
        <v>75000</v>
      </c>
      <c r="AP105" s="275">
        <v>100000</v>
      </c>
      <c r="AQ105" s="275">
        <v>100000</v>
      </c>
      <c r="AR105" s="275">
        <v>25000</v>
      </c>
      <c r="AS105" s="58"/>
      <c r="AT105" s="58"/>
      <c r="AU105" s="58"/>
      <c r="AV105" s="58"/>
      <c r="AW105" s="58"/>
      <c r="AX105" s="53"/>
      <c r="AY105" s="47"/>
      <c r="AZ105" s="53">
        <f t="shared" si="40"/>
        <v>350000</v>
      </c>
      <c r="BA105" s="51"/>
      <c r="BB105" s="359">
        <f t="shared" si="33"/>
        <v>0</v>
      </c>
      <c r="BD105" s="55"/>
    </row>
    <row r="106" spans="1:56" s="36" customFormat="1" ht="15.75" x14ac:dyDescent="0.25">
      <c r="A106" s="113" t="s">
        <v>744</v>
      </c>
      <c r="B106" s="113" t="s">
        <v>733</v>
      </c>
      <c r="C106" s="52" t="s">
        <v>45</v>
      </c>
      <c r="D106" s="52" t="s">
        <v>45</v>
      </c>
      <c r="E106" s="34"/>
      <c r="F106" s="52" t="s">
        <v>623</v>
      </c>
      <c r="G106" s="52" t="s">
        <v>320</v>
      </c>
      <c r="H106" s="52" t="s">
        <v>824</v>
      </c>
      <c r="I106" s="52" t="s">
        <v>320</v>
      </c>
      <c r="J106" s="87">
        <v>44713</v>
      </c>
      <c r="K106" s="87">
        <v>44713</v>
      </c>
      <c r="L106" s="52">
        <v>44758</v>
      </c>
      <c r="M106" s="52">
        <f t="shared" si="42"/>
        <v>44758</v>
      </c>
      <c r="N106" s="50">
        <f t="shared" si="41"/>
        <v>45</v>
      </c>
      <c r="O106" s="50">
        <f t="shared" si="38"/>
        <v>45</v>
      </c>
      <c r="P106" s="52" t="s">
        <v>320</v>
      </c>
      <c r="Q106" s="52">
        <f>M106+30</f>
        <v>44788</v>
      </c>
      <c r="R106" s="52">
        <f>Q106+(6*4.3*7)</f>
        <v>44968.6</v>
      </c>
      <c r="S106" s="50">
        <v>5.999999999999952</v>
      </c>
      <c r="T106" s="50">
        <f t="shared" si="39"/>
        <v>5.999999999999952</v>
      </c>
      <c r="U106" s="50"/>
      <c r="V106" s="50"/>
      <c r="W106" s="50"/>
      <c r="X106" s="53">
        <v>750000</v>
      </c>
      <c r="Y106" s="115">
        <v>0</v>
      </c>
      <c r="Z106" s="115">
        <v>0</v>
      </c>
      <c r="AA106" s="115">
        <v>0</v>
      </c>
      <c r="AB106" s="115">
        <v>0</v>
      </c>
      <c r="AC106" s="115">
        <v>0</v>
      </c>
      <c r="AD106" s="115">
        <v>0</v>
      </c>
      <c r="AE106" s="115">
        <v>0</v>
      </c>
      <c r="AF106" s="115">
        <v>0</v>
      </c>
      <c r="AG106" s="115">
        <v>0</v>
      </c>
      <c r="AH106" s="115">
        <v>0</v>
      </c>
      <c r="AI106" s="115">
        <v>0</v>
      </c>
      <c r="AJ106" s="115">
        <v>0</v>
      </c>
      <c r="AK106" s="115">
        <v>0</v>
      </c>
      <c r="AL106" s="58"/>
      <c r="AM106" s="58"/>
      <c r="AN106" s="275">
        <v>50000</v>
      </c>
      <c r="AO106" s="275">
        <v>75000</v>
      </c>
      <c r="AP106" s="275">
        <v>130000</v>
      </c>
      <c r="AQ106" s="275">
        <v>130000</v>
      </c>
      <c r="AR106" s="275">
        <v>130000</v>
      </c>
      <c r="AS106" s="275">
        <v>130000</v>
      </c>
      <c r="AT106" s="275">
        <v>105000</v>
      </c>
      <c r="AU106" s="58"/>
      <c r="AV106" s="58"/>
      <c r="AW106" s="58"/>
      <c r="AX106" s="53"/>
      <c r="AY106" s="47"/>
      <c r="AZ106" s="53">
        <f t="shared" si="40"/>
        <v>750000</v>
      </c>
      <c r="BA106" s="51"/>
      <c r="BB106" s="359">
        <f t="shared" si="33"/>
        <v>0</v>
      </c>
      <c r="BD106" s="55"/>
    </row>
    <row r="107" spans="1:56" s="36" customFormat="1" ht="15.75" x14ac:dyDescent="0.25">
      <c r="A107" s="374" t="s">
        <v>734</v>
      </c>
      <c r="B107" s="374" t="s">
        <v>652</v>
      </c>
      <c r="C107" s="52" t="s">
        <v>45</v>
      </c>
      <c r="D107" s="52" t="s">
        <v>779</v>
      </c>
      <c r="E107" s="61" t="s">
        <v>701</v>
      </c>
      <c r="F107" s="52" t="s">
        <v>623</v>
      </c>
      <c r="G107" s="52" t="s">
        <v>320</v>
      </c>
      <c r="H107" s="423" t="s">
        <v>856</v>
      </c>
      <c r="I107" s="52">
        <v>44617</v>
      </c>
      <c r="J107" s="87">
        <v>44580</v>
      </c>
      <c r="K107" s="87">
        <v>44580</v>
      </c>
      <c r="L107" s="52">
        <v>44625</v>
      </c>
      <c r="M107" s="87">
        <f t="shared" si="42"/>
        <v>44625</v>
      </c>
      <c r="N107" s="50">
        <f t="shared" si="41"/>
        <v>45</v>
      </c>
      <c r="O107" s="50">
        <f t="shared" si="38"/>
        <v>45</v>
      </c>
      <c r="P107" s="52" t="s">
        <v>320</v>
      </c>
      <c r="Q107" s="376">
        <f>M107+30</f>
        <v>44655</v>
      </c>
      <c r="R107" s="52">
        <f>Q107+(6*4.3*7)</f>
        <v>44835.6</v>
      </c>
      <c r="S107" s="50">
        <v>5.999999999999952</v>
      </c>
      <c r="T107" s="50">
        <f t="shared" si="39"/>
        <v>5.999999999999952</v>
      </c>
      <c r="U107" s="50"/>
      <c r="V107" s="50"/>
      <c r="W107" s="50"/>
      <c r="X107" s="53">
        <v>750000</v>
      </c>
      <c r="Y107" s="115">
        <v>0</v>
      </c>
      <c r="Z107" s="115">
        <v>0</v>
      </c>
      <c r="AA107" s="115">
        <v>0</v>
      </c>
      <c r="AB107" s="115">
        <v>0</v>
      </c>
      <c r="AC107" s="115">
        <v>0</v>
      </c>
      <c r="AD107" s="115">
        <v>0</v>
      </c>
      <c r="AE107" s="115">
        <v>0</v>
      </c>
      <c r="AF107" s="115">
        <v>0</v>
      </c>
      <c r="AG107" s="115">
        <v>0</v>
      </c>
      <c r="AH107" s="115">
        <v>0</v>
      </c>
      <c r="AI107" s="115">
        <v>0</v>
      </c>
      <c r="AJ107" s="115">
        <v>0</v>
      </c>
      <c r="AK107" s="115">
        <v>0</v>
      </c>
      <c r="AL107" s="58"/>
      <c r="AM107" s="275">
        <v>75000</v>
      </c>
      <c r="AN107" s="275">
        <v>100000</v>
      </c>
      <c r="AO107" s="275">
        <v>125000</v>
      </c>
      <c r="AP107" s="275">
        <v>125000</v>
      </c>
      <c r="AQ107" s="275">
        <v>125000</v>
      </c>
      <c r="AR107" s="275">
        <v>140000</v>
      </c>
      <c r="AS107" s="275">
        <v>60000</v>
      </c>
      <c r="AT107" s="58"/>
      <c r="AU107" s="58"/>
      <c r="AV107" s="58"/>
      <c r="AW107" s="58"/>
      <c r="AX107" s="53"/>
      <c r="AY107" s="47"/>
      <c r="AZ107" s="53">
        <f t="shared" si="40"/>
        <v>750000</v>
      </c>
      <c r="BA107" s="51"/>
      <c r="BB107" s="359">
        <f t="shared" si="33"/>
        <v>0</v>
      </c>
      <c r="BD107" s="55"/>
    </row>
    <row r="108" spans="1:56" s="36" customFormat="1" ht="15.75" x14ac:dyDescent="0.25">
      <c r="A108" s="374" t="s">
        <v>764</v>
      </c>
      <c r="B108" s="374" t="s">
        <v>765</v>
      </c>
      <c r="C108" s="394" t="s">
        <v>45</v>
      </c>
      <c r="D108" s="52" t="s">
        <v>778</v>
      </c>
      <c r="E108" s="390"/>
      <c r="F108" s="52" t="s">
        <v>623</v>
      </c>
      <c r="G108" s="52" t="s">
        <v>320</v>
      </c>
      <c r="H108" s="394" t="s">
        <v>829</v>
      </c>
      <c r="I108" s="87">
        <v>44610</v>
      </c>
      <c r="J108" s="87">
        <v>44591</v>
      </c>
      <c r="K108" s="87">
        <v>44591</v>
      </c>
      <c r="L108" s="52">
        <v>44621</v>
      </c>
      <c r="M108" s="87">
        <f>K108+30</f>
        <v>44621</v>
      </c>
      <c r="N108" s="50">
        <f t="shared" si="41"/>
        <v>30</v>
      </c>
      <c r="O108" s="50">
        <f t="shared" si="38"/>
        <v>30</v>
      </c>
      <c r="P108" s="52" t="s">
        <v>320</v>
      </c>
      <c r="Q108" s="376">
        <f>M108+5</f>
        <v>44626</v>
      </c>
      <c r="R108" s="52">
        <f>Q108+(9*4.3*7)</f>
        <v>44896.9</v>
      </c>
      <c r="S108" s="50">
        <v>9.0000000000000497</v>
      </c>
      <c r="T108" s="50">
        <f t="shared" si="39"/>
        <v>9.0000000000000497</v>
      </c>
      <c r="U108" s="50"/>
      <c r="V108" s="50"/>
      <c r="W108" s="50"/>
      <c r="X108" s="53">
        <v>1360000</v>
      </c>
      <c r="Y108" s="115">
        <v>0</v>
      </c>
      <c r="Z108" s="115">
        <v>0</v>
      </c>
      <c r="AA108" s="115">
        <v>0</v>
      </c>
      <c r="AB108" s="115">
        <v>0</v>
      </c>
      <c r="AC108" s="115">
        <v>0</v>
      </c>
      <c r="AD108" s="115">
        <v>0</v>
      </c>
      <c r="AE108" s="115">
        <v>0</v>
      </c>
      <c r="AF108" s="115">
        <v>0</v>
      </c>
      <c r="AG108" s="115">
        <v>0</v>
      </c>
      <c r="AH108" s="115">
        <v>0</v>
      </c>
      <c r="AI108" s="115">
        <v>0</v>
      </c>
      <c r="AJ108" s="115">
        <v>0</v>
      </c>
      <c r="AK108" s="115">
        <v>0</v>
      </c>
      <c r="AL108" s="58"/>
      <c r="AM108" s="275"/>
      <c r="AN108" s="275"/>
      <c r="AO108" s="275"/>
      <c r="AP108" s="275"/>
      <c r="AQ108" s="275"/>
      <c r="AR108" s="275"/>
      <c r="AS108" s="275"/>
      <c r="AT108" s="275"/>
      <c r="AU108" s="275"/>
      <c r="AV108" s="58"/>
      <c r="AW108" s="58">
        <v>1360000</v>
      </c>
      <c r="AX108" s="53"/>
      <c r="AY108" s="47"/>
      <c r="AZ108" s="53">
        <f t="shared" si="40"/>
        <v>1360000</v>
      </c>
      <c r="BA108" s="51"/>
      <c r="BB108" s="359">
        <f t="shared" ref="BB108:BB125" si="43">AZ108-X108</f>
        <v>0</v>
      </c>
      <c r="BD108" s="55"/>
    </row>
    <row r="109" spans="1:56" s="36" customFormat="1" ht="15.75" x14ac:dyDescent="0.25">
      <c r="A109" s="386" t="s">
        <v>768</v>
      </c>
      <c r="B109" s="393" t="s">
        <v>769</v>
      </c>
      <c r="C109" s="52" t="s">
        <v>45</v>
      </c>
      <c r="D109" s="87" t="s">
        <v>778</v>
      </c>
      <c r="E109" s="61"/>
      <c r="F109" s="52" t="s">
        <v>623</v>
      </c>
      <c r="G109" s="52" t="s">
        <v>320</v>
      </c>
      <c r="H109" s="394" t="s">
        <v>829</v>
      </c>
      <c r="I109" s="87">
        <v>44610</v>
      </c>
      <c r="J109" s="87">
        <v>44591</v>
      </c>
      <c r="K109" s="87">
        <v>44591</v>
      </c>
      <c r="L109" s="52">
        <v>44636</v>
      </c>
      <c r="M109" s="87">
        <f t="shared" si="42"/>
        <v>44636</v>
      </c>
      <c r="N109" s="50">
        <f t="shared" si="41"/>
        <v>45</v>
      </c>
      <c r="O109" s="50">
        <f t="shared" si="38"/>
        <v>45</v>
      </c>
      <c r="P109" s="52" t="s">
        <v>320</v>
      </c>
      <c r="Q109" s="376">
        <f t="shared" ref="Q109:Q114" si="44">M109+30</f>
        <v>44666</v>
      </c>
      <c r="R109" s="52">
        <f>Q109+(6*4.3*7)</f>
        <v>44846.6</v>
      </c>
      <c r="S109" s="50">
        <v>5.999999999999952</v>
      </c>
      <c r="T109" s="50">
        <f t="shared" si="39"/>
        <v>5.999999999999952</v>
      </c>
      <c r="U109" s="50"/>
      <c r="V109" s="50"/>
      <c r="W109" s="50"/>
      <c r="X109" s="53">
        <v>175000</v>
      </c>
      <c r="Y109" s="115">
        <v>0</v>
      </c>
      <c r="Z109" s="115">
        <v>0</v>
      </c>
      <c r="AA109" s="115">
        <v>0</v>
      </c>
      <c r="AB109" s="115">
        <v>0</v>
      </c>
      <c r="AC109" s="115">
        <v>0</v>
      </c>
      <c r="AD109" s="115">
        <v>0</v>
      </c>
      <c r="AE109" s="115">
        <v>0</v>
      </c>
      <c r="AF109" s="115">
        <v>0</v>
      </c>
      <c r="AG109" s="115">
        <v>0</v>
      </c>
      <c r="AH109" s="115">
        <v>0</v>
      </c>
      <c r="AI109" s="115">
        <v>0</v>
      </c>
      <c r="AJ109" s="115">
        <v>0</v>
      </c>
      <c r="AK109" s="115">
        <v>0</v>
      </c>
      <c r="AL109" s="58"/>
      <c r="AM109" s="275"/>
      <c r="AN109" s="275"/>
      <c r="AO109" s="275"/>
      <c r="AP109" s="275"/>
      <c r="AQ109" s="275"/>
      <c r="AR109" s="275"/>
      <c r="AS109" s="275"/>
      <c r="AT109" s="275"/>
      <c r="AU109" s="275"/>
      <c r="AV109" s="58"/>
      <c r="AW109" s="58">
        <v>175000</v>
      </c>
      <c r="AX109" s="53"/>
      <c r="AY109" s="47"/>
      <c r="AZ109" s="53">
        <f t="shared" si="40"/>
        <v>175000</v>
      </c>
      <c r="BA109" s="51"/>
      <c r="BB109" s="359">
        <f t="shared" si="43"/>
        <v>0</v>
      </c>
      <c r="BD109" s="55"/>
    </row>
    <row r="110" spans="1:56" s="36" customFormat="1" ht="15.75" x14ac:dyDescent="0.25">
      <c r="A110" s="374" t="s">
        <v>770</v>
      </c>
      <c r="B110" s="375" t="s">
        <v>772</v>
      </c>
      <c r="C110" s="52" t="s">
        <v>45</v>
      </c>
      <c r="D110" s="87" t="s">
        <v>778</v>
      </c>
      <c r="E110" s="34"/>
      <c r="F110" s="52" t="s">
        <v>623</v>
      </c>
      <c r="G110" s="52" t="s">
        <v>320</v>
      </c>
      <c r="H110" s="394" t="s">
        <v>829</v>
      </c>
      <c r="I110" s="87">
        <v>44610</v>
      </c>
      <c r="J110" s="87">
        <v>44591</v>
      </c>
      <c r="K110" s="87">
        <v>44591</v>
      </c>
      <c r="L110" s="52">
        <v>44636</v>
      </c>
      <c r="M110" s="87">
        <f t="shared" si="42"/>
        <v>44636</v>
      </c>
      <c r="N110" s="50">
        <f t="shared" si="41"/>
        <v>45</v>
      </c>
      <c r="O110" s="50">
        <f t="shared" si="38"/>
        <v>45</v>
      </c>
      <c r="P110" s="52" t="s">
        <v>320</v>
      </c>
      <c r="Q110" s="376">
        <f t="shared" si="44"/>
        <v>44666</v>
      </c>
      <c r="R110" s="52">
        <f>Q110+(6*4.3*7)</f>
        <v>44846.6</v>
      </c>
      <c r="S110" s="50">
        <v>5.999999999999952</v>
      </c>
      <c r="T110" s="50">
        <f t="shared" si="39"/>
        <v>5.999999999999952</v>
      </c>
      <c r="U110" s="50"/>
      <c r="V110" s="50"/>
      <c r="W110" s="50"/>
      <c r="X110" s="53">
        <v>300000</v>
      </c>
      <c r="Y110" s="115">
        <v>0</v>
      </c>
      <c r="Z110" s="115">
        <v>0</v>
      </c>
      <c r="AA110" s="115">
        <v>0</v>
      </c>
      <c r="AB110" s="115">
        <v>0</v>
      </c>
      <c r="AC110" s="115">
        <v>0</v>
      </c>
      <c r="AD110" s="115">
        <v>0</v>
      </c>
      <c r="AE110" s="115">
        <v>0</v>
      </c>
      <c r="AF110" s="115">
        <v>0</v>
      </c>
      <c r="AG110" s="115">
        <v>0</v>
      </c>
      <c r="AH110" s="115">
        <v>0</v>
      </c>
      <c r="AI110" s="115">
        <v>0</v>
      </c>
      <c r="AJ110" s="115">
        <v>0</v>
      </c>
      <c r="AK110" s="115">
        <v>0</v>
      </c>
      <c r="AL110" s="58"/>
      <c r="AM110" s="58"/>
      <c r="AN110" s="275"/>
      <c r="AO110" s="275"/>
      <c r="AP110" s="275"/>
      <c r="AQ110" s="275"/>
      <c r="AR110" s="275"/>
      <c r="AS110" s="275"/>
      <c r="AT110" s="275"/>
      <c r="AU110" s="275"/>
      <c r="AV110" s="58"/>
      <c r="AW110" s="58">
        <v>300000</v>
      </c>
      <c r="AX110" s="53"/>
      <c r="AY110" s="47"/>
      <c r="AZ110" s="53">
        <f t="shared" si="40"/>
        <v>300000</v>
      </c>
      <c r="BA110" s="51"/>
      <c r="BB110" s="359">
        <f t="shared" si="43"/>
        <v>0</v>
      </c>
    </row>
    <row r="111" spans="1:56" s="36" customFormat="1" ht="15.75" x14ac:dyDescent="0.25">
      <c r="A111" s="374" t="s">
        <v>771</v>
      </c>
      <c r="B111" s="375" t="s">
        <v>803</v>
      </c>
      <c r="C111" s="52" t="s">
        <v>45</v>
      </c>
      <c r="D111" s="87" t="s">
        <v>778</v>
      </c>
      <c r="E111" s="35"/>
      <c r="F111" s="52" t="s">
        <v>623</v>
      </c>
      <c r="G111" s="52" t="s">
        <v>320</v>
      </c>
      <c r="H111" s="394" t="s">
        <v>829</v>
      </c>
      <c r="I111" s="87">
        <v>44610</v>
      </c>
      <c r="J111" s="87">
        <v>44591</v>
      </c>
      <c r="K111" s="87">
        <v>44591</v>
      </c>
      <c r="L111" s="52">
        <v>44636</v>
      </c>
      <c r="M111" s="87">
        <f t="shared" si="42"/>
        <v>44636</v>
      </c>
      <c r="N111" s="50">
        <f t="shared" si="41"/>
        <v>45</v>
      </c>
      <c r="O111" s="50">
        <f t="shared" si="38"/>
        <v>45</v>
      </c>
      <c r="P111" s="52" t="s">
        <v>320</v>
      </c>
      <c r="Q111" s="376">
        <f t="shared" si="44"/>
        <v>44666</v>
      </c>
      <c r="R111" s="52">
        <f>Q111+(4*4.3*7)</f>
        <v>44786.400000000001</v>
      </c>
      <c r="S111" s="50">
        <v>4.0000000000000488</v>
      </c>
      <c r="T111" s="50">
        <f t="shared" si="39"/>
        <v>4.0000000000000488</v>
      </c>
      <c r="U111" s="50"/>
      <c r="V111" s="50"/>
      <c r="W111" s="50"/>
      <c r="X111" s="53">
        <v>95000</v>
      </c>
      <c r="Y111" s="115">
        <v>0</v>
      </c>
      <c r="Z111" s="115">
        <v>0</v>
      </c>
      <c r="AA111" s="115">
        <v>0</v>
      </c>
      <c r="AB111" s="115">
        <v>0</v>
      </c>
      <c r="AC111" s="115">
        <v>0</v>
      </c>
      <c r="AD111" s="115">
        <v>0</v>
      </c>
      <c r="AE111" s="115">
        <v>0</v>
      </c>
      <c r="AF111" s="115">
        <v>0</v>
      </c>
      <c r="AG111" s="115">
        <v>0</v>
      </c>
      <c r="AH111" s="115">
        <v>0</v>
      </c>
      <c r="AI111" s="115">
        <v>0</v>
      </c>
      <c r="AJ111" s="115">
        <v>0</v>
      </c>
      <c r="AK111" s="115">
        <v>0</v>
      </c>
      <c r="AL111" s="58"/>
      <c r="AM111" s="58"/>
      <c r="AN111" s="275"/>
      <c r="AO111" s="275"/>
      <c r="AP111" s="275"/>
      <c r="AQ111" s="275"/>
      <c r="AR111" s="58"/>
      <c r="AS111" s="58"/>
      <c r="AT111" s="58"/>
      <c r="AU111" s="58"/>
      <c r="AV111" s="58"/>
      <c r="AW111" s="58">
        <v>95000</v>
      </c>
      <c r="AX111" s="53"/>
      <c r="AY111" s="47"/>
      <c r="AZ111" s="53">
        <f t="shared" si="40"/>
        <v>95000</v>
      </c>
      <c r="BA111" s="51"/>
      <c r="BB111" s="359">
        <f t="shared" si="43"/>
        <v>0</v>
      </c>
      <c r="BD111" s="55"/>
    </row>
    <row r="112" spans="1:56" s="36" customFormat="1" ht="15.75" x14ac:dyDescent="0.25">
      <c r="A112" s="374" t="s">
        <v>775</v>
      </c>
      <c r="B112" s="375" t="s">
        <v>766</v>
      </c>
      <c r="C112" s="52" t="s">
        <v>45</v>
      </c>
      <c r="D112" s="87" t="s">
        <v>45</v>
      </c>
      <c r="E112" s="57"/>
      <c r="F112" s="52" t="s">
        <v>623</v>
      </c>
      <c r="G112" s="52" t="s">
        <v>320</v>
      </c>
      <c r="H112" s="432" t="s">
        <v>830</v>
      </c>
      <c r="I112" s="87">
        <v>44601</v>
      </c>
      <c r="J112" s="87">
        <v>44601</v>
      </c>
      <c r="K112" s="87">
        <v>44601</v>
      </c>
      <c r="L112" s="87">
        <v>44646</v>
      </c>
      <c r="M112" s="87">
        <f t="shared" si="42"/>
        <v>44646</v>
      </c>
      <c r="N112" s="50">
        <f t="shared" si="41"/>
        <v>45</v>
      </c>
      <c r="O112" s="50">
        <f t="shared" si="38"/>
        <v>45</v>
      </c>
      <c r="P112" s="52" t="s">
        <v>320</v>
      </c>
      <c r="Q112" s="376">
        <f t="shared" si="44"/>
        <v>44676</v>
      </c>
      <c r="R112" s="52">
        <f t="shared" ref="R112:R120" si="45">Q112+(9*4.3*7)</f>
        <v>44946.9</v>
      </c>
      <c r="S112" s="50">
        <v>9.0000000000000497</v>
      </c>
      <c r="T112" s="50">
        <f t="shared" si="39"/>
        <v>9.0000000000000497</v>
      </c>
      <c r="U112" s="50"/>
      <c r="V112" s="50"/>
      <c r="W112" s="50"/>
      <c r="X112" s="53">
        <v>1200000</v>
      </c>
      <c r="Y112" s="115">
        <v>0</v>
      </c>
      <c r="Z112" s="115">
        <v>0</v>
      </c>
      <c r="AA112" s="115">
        <v>0</v>
      </c>
      <c r="AB112" s="115">
        <v>0</v>
      </c>
      <c r="AC112" s="115">
        <v>0</v>
      </c>
      <c r="AD112" s="115">
        <v>0</v>
      </c>
      <c r="AE112" s="115">
        <v>0</v>
      </c>
      <c r="AF112" s="115">
        <v>0</v>
      </c>
      <c r="AG112" s="115">
        <v>0</v>
      </c>
      <c r="AH112" s="115">
        <v>0</v>
      </c>
      <c r="AI112" s="115">
        <v>0</v>
      </c>
      <c r="AJ112" s="115">
        <v>0</v>
      </c>
      <c r="AK112" s="115">
        <v>0</v>
      </c>
      <c r="AL112" s="58"/>
      <c r="AM112" s="58"/>
      <c r="AN112" s="275"/>
      <c r="AO112" s="275"/>
      <c r="AP112" s="275"/>
      <c r="AQ112" s="275"/>
      <c r="AR112" s="275"/>
      <c r="AS112" s="275"/>
      <c r="AT112" s="275"/>
      <c r="AU112" s="275"/>
      <c r="AV112" s="275"/>
      <c r="AW112" s="275"/>
      <c r="AX112" s="53">
        <v>1200000</v>
      </c>
      <c r="AY112" s="47"/>
      <c r="AZ112" s="53">
        <f t="shared" si="40"/>
        <v>1200000</v>
      </c>
      <c r="BA112" s="51"/>
      <c r="BB112" s="359">
        <f t="shared" si="43"/>
        <v>0</v>
      </c>
      <c r="BD112" s="55"/>
    </row>
    <row r="113" spans="1:56" s="36" customFormat="1" ht="15.75" x14ac:dyDescent="0.25">
      <c r="A113" s="386" t="s">
        <v>775</v>
      </c>
      <c r="B113" s="393" t="s">
        <v>767</v>
      </c>
      <c r="C113" s="52" t="s">
        <v>45</v>
      </c>
      <c r="D113" s="87" t="s">
        <v>45</v>
      </c>
      <c r="E113" s="65"/>
      <c r="F113" s="52" t="s">
        <v>623</v>
      </c>
      <c r="G113" s="52" t="s">
        <v>320</v>
      </c>
      <c r="H113" s="432" t="s">
        <v>830</v>
      </c>
      <c r="I113" s="87">
        <v>44601</v>
      </c>
      <c r="J113" s="87">
        <v>44601</v>
      </c>
      <c r="K113" s="87">
        <v>44601</v>
      </c>
      <c r="L113" s="87">
        <v>44646</v>
      </c>
      <c r="M113" s="87">
        <f t="shared" si="42"/>
        <v>44646</v>
      </c>
      <c r="N113" s="50">
        <f t="shared" si="41"/>
        <v>45</v>
      </c>
      <c r="O113" s="50">
        <f t="shared" si="38"/>
        <v>45</v>
      </c>
      <c r="P113" s="52" t="s">
        <v>320</v>
      </c>
      <c r="Q113" s="376">
        <f t="shared" si="44"/>
        <v>44676</v>
      </c>
      <c r="R113" s="52">
        <f t="shared" si="45"/>
        <v>44946.9</v>
      </c>
      <c r="S113" s="50">
        <v>9.0000000000000497</v>
      </c>
      <c r="T113" s="50">
        <f t="shared" si="39"/>
        <v>9.0000000000000497</v>
      </c>
      <c r="U113" s="50"/>
      <c r="V113" s="50"/>
      <c r="W113" s="50"/>
      <c r="X113" s="53">
        <v>300000</v>
      </c>
      <c r="Y113" s="115">
        <v>0</v>
      </c>
      <c r="Z113" s="115">
        <v>0</v>
      </c>
      <c r="AA113" s="115">
        <v>0</v>
      </c>
      <c r="AB113" s="115">
        <v>0</v>
      </c>
      <c r="AC113" s="115">
        <v>0</v>
      </c>
      <c r="AD113" s="115">
        <v>0</v>
      </c>
      <c r="AE113" s="115">
        <v>0</v>
      </c>
      <c r="AF113" s="115">
        <v>0</v>
      </c>
      <c r="AG113" s="115">
        <v>0</v>
      </c>
      <c r="AH113" s="115">
        <v>0</v>
      </c>
      <c r="AI113" s="115">
        <v>0</v>
      </c>
      <c r="AJ113" s="115">
        <v>0</v>
      </c>
      <c r="AK113" s="115">
        <v>0</v>
      </c>
      <c r="AL113" s="58"/>
      <c r="AM113" s="58"/>
      <c r="AN113" s="275"/>
      <c r="AO113" s="275"/>
      <c r="AP113" s="275"/>
      <c r="AQ113" s="275"/>
      <c r="AR113" s="275"/>
      <c r="AS113" s="275"/>
      <c r="AT113" s="275"/>
      <c r="AU113" s="275"/>
      <c r="AV113" s="275"/>
      <c r="AW113" s="275"/>
      <c r="AX113" s="53">
        <v>300000</v>
      </c>
      <c r="AY113" s="47"/>
      <c r="AZ113" s="53">
        <f t="shared" si="40"/>
        <v>300000</v>
      </c>
      <c r="BA113" s="51"/>
      <c r="BB113" s="359">
        <f t="shared" si="43"/>
        <v>0</v>
      </c>
    </row>
    <row r="114" spans="1:56" s="36" customFormat="1" ht="15.75" x14ac:dyDescent="0.25">
      <c r="A114" s="374" t="s">
        <v>775</v>
      </c>
      <c r="B114" s="375" t="s">
        <v>788</v>
      </c>
      <c r="C114" s="52" t="s">
        <v>45</v>
      </c>
      <c r="D114" s="87" t="s">
        <v>45</v>
      </c>
      <c r="E114" s="57"/>
      <c r="F114" s="52" t="s">
        <v>623</v>
      </c>
      <c r="G114" s="52" t="s">
        <v>320</v>
      </c>
      <c r="H114" s="432" t="s">
        <v>830</v>
      </c>
      <c r="I114" s="87">
        <v>44601</v>
      </c>
      <c r="J114" s="87">
        <v>44601</v>
      </c>
      <c r="K114" s="87">
        <v>44601</v>
      </c>
      <c r="L114" s="87">
        <v>44646</v>
      </c>
      <c r="M114" s="87">
        <f t="shared" si="42"/>
        <v>44646</v>
      </c>
      <c r="N114" s="50">
        <f t="shared" si="41"/>
        <v>45</v>
      </c>
      <c r="O114" s="50">
        <f t="shared" si="38"/>
        <v>45</v>
      </c>
      <c r="P114" s="52" t="s">
        <v>320</v>
      </c>
      <c r="Q114" s="376">
        <f t="shared" si="44"/>
        <v>44676</v>
      </c>
      <c r="R114" s="52">
        <f t="shared" si="45"/>
        <v>44946.9</v>
      </c>
      <c r="S114" s="50">
        <v>9.0000000000000497</v>
      </c>
      <c r="T114" s="50">
        <f t="shared" si="39"/>
        <v>9.0000000000000497</v>
      </c>
      <c r="U114" s="50"/>
      <c r="V114" s="50"/>
      <c r="W114" s="50"/>
      <c r="X114" s="53"/>
      <c r="Y114" s="115">
        <v>0</v>
      </c>
      <c r="Z114" s="115">
        <v>0</v>
      </c>
      <c r="AA114" s="115">
        <v>0</v>
      </c>
      <c r="AB114" s="115">
        <v>0</v>
      </c>
      <c r="AC114" s="115">
        <v>0</v>
      </c>
      <c r="AD114" s="115">
        <v>0</v>
      </c>
      <c r="AE114" s="115">
        <v>0</v>
      </c>
      <c r="AF114" s="115">
        <v>0</v>
      </c>
      <c r="AG114" s="115">
        <v>0</v>
      </c>
      <c r="AH114" s="115">
        <v>0</v>
      </c>
      <c r="AI114" s="115">
        <v>0</v>
      </c>
      <c r="AJ114" s="115">
        <v>0</v>
      </c>
      <c r="AK114" s="115">
        <v>0</v>
      </c>
      <c r="AL114" s="58"/>
      <c r="AM114" s="58"/>
      <c r="AN114" s="275"/>
      <c r="AO114" s="275"/>
      <c r="AP114" s="275"/>
      <c r="AQ114" s="275"/>
      <c r="AR114" s="275"/>
      <c r="AS114" s="275"/>
      <c r="AT114" s="275"/>
      <c r="AU114" s="275"/>
      <c r="AV114" s="275"/>
      <c r="AW114" s="275"/>
      <c r="AX114" s="53"/>
      <c r="AY114" s="47"/>
      <c r="AZ114" s="53">
        <f t="shared" si="40"/>
        <v>0</v>
      </c>
      <c r="BA114" s="51"/>
      <c r="BB114" s="359">
        <f t="shared" si="43"/>
        <v>0</v>
      </c>
    </row>
    <row r="115" spans="1:56" s="36" customFormat="1" ht="15.75" x14ac:dyDescent="0.25">
      <c r="A115" s="374" t="s">
        <v>845</v>
      </c>
      <c r="B115" s="375" t="s">
        <v>776</v>
      </c>
      <c r="C115" s="52" t="s">
        <v>45</v>
      </c>
      <c r="D115" s="87" t="s">
        <v>45</v>
      </c>
      <c r="E115" s="57" t="s">
        <v>862</v>
      </c>
      <c r="F115" s="52" t="s">
        <v>623</v>
      </c>
      <c r="G115" s="52" t="s">
        <v>320</v>
      </c>
      <c r="H115" s="432" t="s">
        <v>832</v>
      </c>
      <c r="I115" s="52">
        <v>44607</v>
      </c>
      <c r="J115" s="87">
        <v>44591</v>
      </c>
      <c r="K115" s="87">
        <v>44591</v>
      </c>
      <c r="L115" s="87">
        <v>44621</v>
      </c>
      <c r="M115" s="87">
        <f>K115+30</f>
        <v>44621</v>
      </c>
      <c r="N115" s="50">
        <f t="shared" si="41"/>
        <v>30</v>
      </c>
      <c r="O115" s="50">
        <f t="shared" si="38"/>
        <v>30</v>
      </c>
      <c r="P115" s="52" t="s">
        <v>320</v>
      </c>
      <c r="Q115" s="376">
        <v>44621</v>
      </c>
      <c r="R115" s="52">
        <f t="shared" si="45"/>
        <v>44891.9</v>
      </c>
      <c r="S115" s="50">
        <v>9.0000000000000497</v>
      </c>
      <c r="T115" s="50">
        <f t="shared" si="39"/>
        <v>9.0000000000000497</v>
      </c>
      <c r="U115" s="50"/>
      <c r="V115" s="50"/>
      <c r="W115" s="50"/>
      <c r="X115" s="53">
        <v>2000000</v>
      </c>
      <c r="Y115" s="115">
        <v>0</v>
      </c>
      <c r="Z115" s="115">
        <v>0</v>
      </c>
      <c r="AA115" s="115">
        <v>0</v>
      </c>
      <c r="AB115" s="115">
        <v>0</v>
      </c>
      <c r="AC115" s="115">
        <v>0</v>
      </c>
      <c r="AD115" s="115">
        <v>0</v>
      </c>
      <c r="AE115" s="115">
        <v>0</v>
      </c>
      <c r="AF115" s="115">
        <v>0</v>
      </c>
      <c r="AG115" s="115">
        <v>0</v>
      </c>
      <c r="AH115" s="115">
        <v>0</v>
      </c>
      <c r="AI115" s="115">
        <v>0</v>
      </c>
      <c r="AJ115" s="115">
        <v>0</v>
      </c>
      <c r="AK115" s="115">
        <v>0</v>
      </c>
      <c r="AL115" s="58"/>
      <c r="AM115" s="58"/>
      <c r="AN115" s="275"/>
      <c r="AO115" s="275"/>
      <c r="AP115" s="275"/>
      <c r="AQ115" s="275"/>
      <c r="AR115" s="275"/>
      <c r="AS115" s="275"/>
      <c r="AT115" s="275"/>
      <c r="AU115" s="275"/>
      <c r="AV115" s="275"/>
      <c r="AW115" s="275"/>
      <c r="AX115" s="53">
        <v>2000000</v>
      </c>
      <c r="AY115" s="47"/>
      <c r="AZ115" s="53">
        <f t="shared" si="40"/>
        <v>2000000</v>
      </c>
      <c r="BA115" s="51"/>
      <c r="BB115" s="359">
        <f t="shared" si="43"/>
        <v>0</v>
      </c>
    </row>
    <row r="116" spans="1:56" s="36" customFormat="1" ht="15.75" x14ac:dyDescent="0.25">
      <c r="A116" s="374" t="s">
        <v>851</v>
      </c>
      <c r="B116" s="410" t="s">
        <v>846</v>
      </c>
      <c r="C116" s="52" t="s">
        <v>45</v>
      </c>
      <c r="D116" s="87" t="s">
        <v>45</v>
      </c>
      <c r="E116" s="57" t="s">
        <v>862</v>
      </c>
      <c r="F116" s="52" t="s">
        <v>623</v>
      </c>
      <c r="G116" s="52" t="s">
        <v>320</v>
      </c>
      <c r="H116" s="432" t="s">
        <v>832</v>
      </c>
      <c r="I116" s="52">
        <v>44607</v>
      </c>
      <c r="J116" s="87">
        <v>44560</v>
      </c>
      <c r="K116" s="87">
        <v>44560</v>
      </c>
      <c r="L116" s="87">
        <v>44605</v>
      </c>
      <c r="M116" s="87">
        <f t="shared" si="42"/>
        <v>44605</v>
      </c>
      <c r="N116" s="50">
        <f t="shared" si="41"/>
        <v>45</v>
      </c>
      <c r="O116" s="50">
        <f t="shared" si="38"/>
        <v>45</v>
      </c>
      <c r="P116" s="52" t="s">
        <v>320</v>
      </c>
      <c r="Q116" s="376">
        <f>M116+30</f>
        <v>44635</v>
      </c>
      <c r="R116" s="52">
        <f t="shared" si="45"/>
        <v>44905.9</v>
      </c>
      <c r="S116" s="50">
        <v>9.0000000000000497</v>
      </c>
      <c r="T116" s="50">
        <f t="shared" si="39"/>
        <v>9.0000000000000497</v>
      </c>
      <c r="U116" s="50"/>
      <c r="V116" s="50"/>
      <c r="W116" s="50"/>
      <c r="X116" s="53"/>
      <c r="Y116" s="115">
        <v>0</v>
      </c>
      <c r="Z116" s="115">
        <v>0</v>
      </c>
      <c r="AA116" s="115">
        <v>0</v>
      </c>
      <c r="AB116" s="115">
        <v>0</v>
      </c>
      <c r="AC116" s="115">
        <v>0</v>
      </c>
      <c r="AD116" s="115">
        <v>0</v>
      </c>
      <c r="AE116" s="115">
        <v>0</v>
      </c>
      <c r="AF116" s="115">
        <v>0</v>
      </c>
      <c r="AG116" s="115">
        <v>0</v>
      </c>
      <c r="AH116" s="115">
        <v>0</v>
      </c>
      <c r="AI116" s="115">
        <v>0</v>
      </c>
      <c r="AJ116" s="115">
        <v>0</v>
      </c>
      <c r="AK116" s="115">
        <v>0</v>
      </c>
      <c r="AL116" s="58"/>
      <c r="AM116" s="58"/>
      <c r="AN116" s="275"/>
      <c r="AO116" s="275"/>
      <c r="AP116" s="275"/>
      <c r="AQ116" s="275"/>
      <c r="AR116" s="275"/>
      <c r="AS116" s="275"/>
      <c r="AT116" s="275"/>
      <c r="AU116" s="275"/>
      <c r="AV116" s="275"/>
      <c r="AW116" s="275"/>
      <c r="AX116" s="53">
        <v>650000</v>
      </c>
      <c r="AY116" s="47"/>
      <c r="AZ116" s="53">
        <f t="shared" si="40"/>
        <v>650000</v>
      </c>
      <c r="BA116" s="51"/>
      <c r="BB116" s="359">
        <f t="shared" si="43"/>
        <v>650000</v>
      </c>
    </row>
    <row r="117" spans="1:56" s="36" customFormat="1" ht="15.75" x14ac:dyDescent="0.25">
      <c r="A117" s="374" t="s">
        <v>852</v>
      </c>
      <c r="B117" s="410" t="s">
        <v>847</v>
      </c>
      <c r="C117" s="52" t="s">
        <v>45</v>
      </c>
      <c r="D117" s="87" t="s">
        <v>45</v>
      </c>
      <c r="E117" s="57" t="s">
        <v>862</v>
      </c>
      <c r="F117" s="52" t="s">
        <v>623</v>
      </c>
      <c r="G117" s="52" t="s">
        <v>320</v>
      </c>
      <c r="H117" s="432" t="s">
        <v>832</v>
      </c>
      <c r="I117" s="52">
        <v>44607</v>
      </c>
      <c r="J117" s="87">
        <v>44560</v>
      </c>
      <c r="K117" s="87">
        <v>44560</v>
      </c>
      <c r="L117" s="87">
        <v>44605</v>
      </c>
      <c r="M117" s="87">
        <f>K117+45</f>
        <v>44605</v>
      </c>
      <c r="N117" s="50">
        <f t="shared" si="41"/>
        <v>45</v>
      </c>
      <c r="O117" s="50">
        <f>M117-K117</f>
        <v>45</v>
      </c>
      <c r="P117" s="52" t="s">
        <v>320</v>
      </c>
      <c r="Q117" s="376">
        <f>M117+30</f>
        <v>44635</v>
      </c>
      <c r="R117" s="52">
        <f t="shared" si="45"/>
        <v>44905.9</v>
      </c>
      <c r="S117" s="50">
        <v>9.0000000000000497</v>
      </c>
      <c r="T117" s="50">
        <f>((R117-Q117)/7)/4.3</f>
        <v>9.0000000000000497</v>
      </c>
      <c r="U117" s="50"/>
      <c r="V117" s="50"/>
      <c r="W117" s="50"/>
      <c r="X117" s="53"/>
      <c r="Y117" s="115">
        <v>0</v>
      </c>
      <c r="Z117" s="115">
        <v>0</v>
      </c>
      <c r="AA117" s="115">
        <v>0</v>
      </c>
      <c r="AB117" s="115">
        <v>0</v>
      </c>
      <c r="AC117" s="115">
        <v>0</v>
      </c>
      <c r="AD117" s="115">
        <v>0</v>
      </c>
      <c r="AE117" s="115">
        <v>0</v>
      </c>
      <c r="AF117" s="115">
        <v>0</v>
      </c>
      <c r="AG117" s="115">
        <v>0</v>
      </c>
      <c r="AH117" s="115">
        <v>0</v>
      </c>
      <c r="AI117" s="115">
        <v>0</v>
      </c>
      <c r="AJ117" s="115">
        <v>0</v>
      </c>
      <c r="AK117" s="115">
        <v>0</v>
      </c>
      <c r="AL117" s="58"/>
      <c r="AM117" s="58"/>
      <c r="AN117" s="275"/>
      <c r="AO117" s="275"/>
      <c r="AP117" s="275"/>
      <c r="AQ117" s="275"/>
      <c r="AR117" s="275"/>
      <c r="AS117" s="275"/>
      <c r="AT117" s="275"/>
      <c r="AU117" s="275"/>
      <c r="AV117" s="275"/>
      <c r="AW117" s="275"/>
      <c r="AX117" s="53">
        <v>650000</v>
      </c>
      <c r="AY117" s="47"/>
      <c r="AZ117" s="53">
        <f>SUM(Y117:AY117)</f>
        <v>650000</v>
      </c>
      <c r="BA117" s="51"/>
      <c r="BB117" s="359">
        <f>AZ117-X117</f>
        <v>650000</v>
      </c>
    </row>
    <row r="118" spans="1:56" s="36" customFormat="1" ht="15.75" x14ac:dyDescent="0.25">
      <c r="A118" s="374" t="s">
        <v>853</v>
      </c>
      <c r="B118" s="410" t="s">
        <v>848</v>
      </c>
      <c r="C118" s="52" t="s">
        <v>45</v>
      </c>
      <c r="D118" s="87" t="s">
        <v>45</v>
      </c>
      <c r="E118" s="57" t="s">
        <v>862</v>
      </c>
      <c r="F118" s="52" t="s">
        <v>623</v>
      </c>
      <c r="G118" s="52" t="s">
        <v>320</v>
      </c>
      <c r="H118" s="432" t="s">
        <v>832</v>
      </c>
      <c r="I118" s="52">
        <v>44607</v>
      </c>
      <c r="J118" s="87">
        <v>44560</v>
      </c>
      <c r="K118" s="87">
        <v>44560</v>
      </c>
      <c r="L118" s="87">
        <v>44605</v>
      </c>
      <c r="M118" s="87">
        <f>K118+45</f>
        <v>44605</v>
      </c>
      <c r="N118" s="50">
        <f t="shared" si="41"/>
        <v>45</v>
      </c>
      <c r="O118" s="50">
        <f>M118-K118</f>
        <v>45</v>
      </c>
      <c r="P118" s="52" t="s">
        <v>320</v>
      </c>
      <c r="Q118" s="376">
        <f>M118+30</f>
        <v>44635</v>
      </c>
      <c r="R118" s="52">
        <f t="shared" si="45"/>
        <v>44905.9</v>
      </c>
      <c r="S118" s="50">
        <v>9.0000000000000497</v>
      </c>
      <c r="T118" s="50">
        <f>((R118-Q118)/7)/4.3</f>
        <v>9.0000000000000497</v>
      </c>
      <c r="U118" s="50"/>
      <c r="V118" s="50"/>
      <c r="W118" s="50"/>
      <c r="X118" s="53"/>
      <c r="Y118" s="115">
        <v>0</v>
      </c>
      <c r="Z118" s="115">
        <v>0</v>
      </c>
      <c r="AA118" s="115">
        <v>0</v>
      </c>
      <c r="AB118" s="115">
        <v>0</v>
      </c>
      <c r="AC118" s="115">
        <v>0</v>
      </c>
      <c r="AD118" s="115">
        <v>0</v>
      </c>
      <c r="AE118" s="115">
        <v>0</v>
      </c>
      <c r="AF118" s="115">
        <v>0</v>
      </c>
      <c r="AG118" s="115">
        <v>0</v>
      </c>
      <c r="AH118" s="115">
        <v>0</v>
      </c>
      <c r="AI118" s="115">
        <v>0</v>
      </c>
      <c r="AJ118" s="115">
        <v>0</v>
      </c>
      <c r="AK118" s="115">
        <v>0</v>
      </c>
      <c r="AL118" s="58"/>
      <c r="AM118" s="58"/>
      <c r="AN118" s="275"/>
      <c r="AO118" s="275"/>
      <c r="AP118" s="275"/>
      <c r="AQ118" s="275"/>
      <c r="AR118" s="275"/>
      <c r="AS118" s="275"/>
      <c r="AT118" s="275"/>
      <c r="AU118" s="275"/>
      <c r="AV118" s="275"/>
      <c r="AW118" s="275"/>
      <c r="AX118" s="53">
        <v>650000</v>
      </c>
      <c r="AY118" s="47"/>
      <c r="AZ118" s="53">
        <f>SUM(Y118:AY118)</f>
        <v>650000</v>
      </c>
      <c r="BA118" s="51"/>
      <c r="BB118" s="359">
        <f>AZ118-X118</f>
        <v>650000</v>
      </c>
    </row>
    <row r="119" spans="1:56" s="36" customFormat="1" ht="15.75" x14ac:dyDescent="0.25">
      <c r="A119" s="374" t="s">
        <v>854</v>
      </c>
      <c r="B119" s="410" t="s">
        <v>849</v>
      </c>
      <c r="C119" s="52" t="s">
        <v>45</v>
      </c>
      <c r="D119" s="87" t="s">
        <v>45</v>
      </c>
      <c r="E119" s="57" t="s">
        <v>862</v>
      </c>
      <c r="F119" s="52" t="s">
        <v>623</v>
      </c>
      <c r="G119" s="52" t="s">
        <v>320</v>
      </c>
      <c r="H119" s="432" t="s">
        <v>832</v>
      </c>
      <c r="I119" s="52">
        <v>44607</v>
      </c>
      <c r="J119" s="87">
        <v>44560</v>
      </c>
      <c r="K119" s="87">
        <v>44560</v>
      </c>
      <c r="L119" s="87">
        <v>44605</v>
      </c>
      <c r="M119" s="87">
        <f>K119+45</f>
        <v>44605</v>
      </c>
      <c r="N119" s="50">
        <f t="shared" si="41"/>
        <v>45</v>
      </c>
      <c r="O119" s="50">
        <f>M119-K119</f>
        <v>45</v>
      </c>
      <c r="P119" s="52" t="s">
        <v>320</v>
      </c>
      <c r="Q119" s="376">
        <f>M119+30</f>
        <v>44635</v>
      </c>
      <c r="R119" s="52">
        <f t="shared" si="45"/>
        <v>44905.9</v>
      </c>
      <c r="S119" s="50">
        <v>9.0000000000000497</v>
      </c>
      <c r="T119" s="50">
        <f>((R119-Q119)/7)/4.3</f>
        <v>9.0000000000000497</v>
      </c>
      <c r="U119" s="50"/>
      <c r="V119" s="50"/>
      <c r="W119" s="50"/>
      <c r="X119" s="53"/>
      <c r="Y119" s="115">
        <v>0</v>
      </c>
      <c r="Z119" s="115">
        <v>0</v>
      </c>
      <c r="AA119" s="115">
        <v>0</v>
      </c>
      <c r="AB119" s="115">
        <v>0</v>
      </c>
      <c r="AC119" s="115">
        <v>0</v>
      </c>
      <c r="AD119" s="115">
        <v>0</v>
      </c>
      <c r="AE119" s="115">
        <v>0</v>
      </c>
      <c r="AF119" s="115">
        <v>0</v>
      </c>
      <c r="AG119" s="115">
        <v>0</v>
      </c>
      <c r="AH119" s="115">
        <v>0</v>
      </c>
      <c r="AI119" s="115">
        <v>0</v>
      </c>
      <c r="AJ119" s="115">
        <v>0</v>
      </c>
      <c r="AK119" s="115">
        <v>0</v>
      </c>
      <c r="AL119" s="58"/>
      <c r="AM119" s="58"/>
      <c r="AN119" s="275"/>
      <c r="AO119" s="275"/>
      <c r="AP119" s="275"/>
      <c r="AQ119" s="275"/>
      <c r="AR119" s="275"/>
      <c r="AS119" s="275"/>
      <c r="AT119" s="275"/>
      <c r="AU119" s="275"/>
      <c r="AV119" s="275"/>
      <c r="AW119" s="275"/>
      <c r="AX119" s="53">
        <v>650000</v>
      </c>
      <c r="AY119" s="47"/>
      <c r="AZ119" s="53">
        <f>SUM(Y119:AY119)</f>
        <v>650000</v>
      </c>
      <c r="BA119" s="51"/>
      <c r="BB119" s="359">
        <f>AZ119-X119</f>
        <v>650000</v>
      </c>
    </row>
    <row r="120" spans="1:56" s="36" customFormat="1" ht="15.75" x14ac:dyDescent="0.25">
      <c r="A120" s="374" t="s">
        <v>855</v>
      </c>
      <c r="B120" s="410" t="s">
        <v>850</v>
      </c>
      <c r="C120" s="52" t="s">
        <v>45</v>
      </c>
      <c r="D120" s="87" t="s">
        <v>45</v>
      </c>
      <c r="E120" s="57" t="s">
        <v>862</v>
      </c>
      <c r="F120" s="52" t="s">
        <v>623</v>
      </c>
      <c r="G120" s="52" t="s">
        <v>320</v>
      </c>
      <c r="H120" s="432" t="s">
        <v>832</v>
      </c>
      <c r="I120" s="52">
        <v>44607</v>
      </c>
      <c r="J120" s="87">
        <v>44560</v>
      </c>
      <c r="K120" s="87">
        <v>44560</v>
      </c>
      <c r="L120" s="87">
        <v>44605</v>
      </c>
      <c r="M120" s="87">
        <f t="shared" si="42"/>
        <v>44605</v>
      </c>
      <c r="N120" s="50">
        <f t="shared" si="41"/>
        <v>45</v>
      </c>
      <c r="O120" s="50">
        <f t="shared" si="38"/>
        <v>45</v>
      </c>
      <c r="P120" s="52" t="s">
        <v>320</v>
      </c>
      <c r="Q120" s="376">
        <f>M120+30</f>
        <v>44635</v>
      </c>
      <c r="R120" s="52">
        <f t="shared" si="45"/>
        <v>44905.9</v>
      </c>
      <c r="S120" s="50">
        <v>9.0000000000000497</v>
      </c>
      <c r="T120" s="50">
        <f t="shared" si="39"/>
        <v>9.0000000000000497</v>
      </c>
      <c r="U120" s="50"/>
      <c r="V120" s="50"/>
      <c r="W120" s="50"/>
      <c r="X120" s="53"/>
      <c r="Y120" s="115">
        <v>0</v>
      </c>
      <c r="Z120" s="115">
        <v>0</v>
      </c>
      <c r="AA120" s="115">
        <v>0</v>
      </c>
      <c r="AB120" s="115">
        <v>0</v>
      </c>
      <c r="AC120" s="115">
        <v>0</v>
      </c>
      <c r="AD120" s="115">
        <v>0</v>
      </c>
      <c r="AE120" s="115">
        <v>0</v>
      </c>
      <c r="AF120" s="115">
        <v>0</v>
      </c>
      <c r="AG120" s="115">
        <v>0</v>
      </c>
      <c r="AH120" s="115">
        <v>0</v>
      </c>
      <c r="AI120" s="115">
        <v>0</v>
      </c>
      <c r="AJ120" s="115">
        <v>0</v>
      </c>
      <c r="AK120" s="115">
        <v>0</v>
      </c>
      <c r="AL120" s="58"/>
      <c r="AM120" s="58"/>
      <c r="AN120" s="275"/>
      <c r="AO120" s="275"/>
      <c r="AP120" s="275"/>
      <c r="AQ120" s="275"/>
      <c r="AR120" s="275"/>
      <c r="AS120" s="275"/>
      <c r="AT120" s="275"/>
      <c r="AU120" s="275"/>
      <c r="AV120" s="275"/>
      <c r="AW120" s="275"/>
      <c r="AX120" s="53">
        <v>650000</v>
      </c>
      <c r="AY120" s="47"/>
      <c r="AZ120" s="53">
        <f t="shared" si="40"/>
        <v>650000</v>
      </c>
      <c r="BA120" s="51"/>
      <c r="BB120" s="359">
        <f t="shared" si="43"/>
        <v>650000</v>
      </c>
    </row>
    <row r="121" spans="1:56" s="36" customFormat="1" ht="15.75" x14ac:dyDescent="0.25">
      <c r="A121" s="374" t="s">
        <v>266</v>
      </c>
      <c r="B121" s="375" t="s">
        <v>794</v>
      </c>
      <c r="C121" s="52" t="s">
        <v>45</v>
      </c>
      <c r="D121" s="87" t="s">
        <v>45</v>
      </c>
      <c r="E121" s="56" t="s">
        <v>862</v>
      </c>
      <c r="F121" s="52" t="s">
        <v>623</v>
      </c>
      <c r="G121" s="52" t="s">
        <v>320</v>
      </c>
      <c r="H121" s="87" t="s">
        <v>833</v>
      </c>
      <c r="I121" s="52">
        <v>44601</v>
      </c>
      <c r="J121" s="87">
        <v>44601</v>
      </c>
      <c r="K121" s="87">
        <v>44601</v>
      </c>
      <c r="L121" s="87">
        <v>44620</v>
      </c>
      <c r="M121" s="87">
        <v>44620</v>
      </c>
      <c r="N121" s="50">
        <f t="shared" si="41"/>
        <v>19</v>
      </c>
      <c r="O121" s="50">
        <f t="shared" si="38"/>
        <v>19</v>
      </c>
      <c r="P121" s="52" t="s">
        <v>320</v>
      </c>
      <c r="Q121" s="376">
        <v>44606</v>
      </c>
      <c r="R121" s="52">
        <v>44682</v>
      </c>
      <c r="S121" s="50">
        <v>2.5249169435215948</v>
      </c>
      <c r="T121" s="50">
        <f t="shared" si="39"/>
        <v>2.5249169435215948</v>
      </c>
      <c r="U121" s="50"/>
      <c r="V121" s="50"/>
      <c r="W121" s="50"/>
      <c r="X121" s="53">
        <v>725000</v>
      </c>
      <c r="Y121" s="115">
        <v>0</v>
      </c>
      <c r="Z121" s="115">
        <v>0</v>
      </c>
      <c r="AA121" s="115">
        <v>0</v>
      </c>
      <c r="AB121" s="115">
        <v>0</v>
      </c>
      <c r="AC121" s="115">
        <v>0</v>
      </c>
      <c r="AD121" s="115">
        <v>0</v>
      </c>
      <c r="AE121" s="115">
        <v>0</v>
      </c>
      <c r="AF121" s="115">
        <v>0</v>
      </c>
      <c r="AG121" s="115">
        <v>0</v>
      </c>
      <c r="AH121" s="115">
        <v>0</v>
      </c>
      <c r="AI121" s="115">
        <v>0</v>
      </c>
      <c r="AJ121" s="115">
        <v>0</v>
      </c>
      <c r="AK121" s="115">
        <v>0</v>
      </c>
      <c r="AL121" s="58"/>
      <c r="AM121" s="58"/>
      <c r="AN121" s="275"/>
      <c r="AO121" s="275"/>
      <c r="AP121" s="275"/>
      <c r="AQ121" s="275"/>
      <c r="AR121" s="275"/>
      <c r="AS121" s="275"/>
      <c r="AT121" s="275"/>
      <c r="AU121" s="275"/>
      <c r="AV121" s="275"/>
      <c r="AW121" s="275">
        <v>725000</v>
      </c>
      <c r="AX121" s="53"/>
      <c r="AY121" s="47"/>
      <c r="AZ121" s="53">
        <f t="shared" si="40"/>
        <v>725000</v>
      </c>
      <c r="BA121" s="51"/>
      <c r="BB121" s="359">
        <f t="shared" si="43"/>
        <v>0</v>
      </c>
    </row>
    <row r="122" spans="1:56" s="36" customFormat="1" ht="15.75" x14ac:dyDescent="0.25">
      <c r="A122" s="113" t="s">
        <v>475</v>
      </c>
      <c r="B122" s="113" t="s">
        <v>793</v>
      </c>
      <c r="C122" s="394" t="s">
        <v>863</v>
      </c>
      <c r="D122" s="52" t="s">
        <v>45</v>
      </c>
      <c r="E122" s="390" t="s">
        <v>864</v>
      </c>
      <c r="F122" s="52" t="s">
        <v>623</v>
      </c>
      <c r="G122" s="52" t="s">
        <v>320</v>
      </c>
      <c r="H122" s="394" t="s">
        <v>831</v>
      </c>
      <c r="I122" s="52" t="s">
        <v>320</v>
      </c>
      <c r="J122" s="52">
        <v>44682</v>
      </c>
      <c r="K122" s="87">
        <v>44682</v>
      </c>
      <c r="L122" s="52">
        <v>44742</v>
      </c>
      <c r="M122" s="52">
        <f>K122+60</f>
        <v>44742</v>
      </c>
      <c r="N122" s="50">
        <f t="shared" si="41"/>
        <v>60</v>
      </c>
      <c r="O122" s="50">
        <f t="shared" si="38"/>
        <v>60</v>
      </c>
      <c r="P122" s="52" t="s">
        <v>320</v>
      </c>
      <c r="Q122" s="52">
        <f>M122+30</f>
        <v>44772</v>
      </c>
      <c r="R122" s="52">
        <f>Q122+(12*4.3*7)</f>
        <v>45133.2</v>
      </c>
      <c r="S122" s="50">
        <v>11.999999999999904</v>
      </c>
      <c r="T122" s="50">
        <f t="shared" si="39"/>
        <v>11.999999999999904</v>
      </c>
      <c r="U122" s="50"/>
      <c r="V122" s="50"/>
      <c r="W122" s="50"/>
      <c r="X122" s="58">
        <v>14000000</v>
      </c>
      <c r="Y122" s="115">
        <v>0</v>
      </c>
      <c r="Z122" s="115">
        <v>0</v>
      </c>
      <c r="AA122" s="115">
        <v>0</v>
      </c>
      <c r="AB122" s="115">
        <v>0</v>
      </c>
      <c r="AC122" s="115">
        <v>0</v>
      </c>
      <c r="AD122" s="115">
        <v>0</v>
      </c>
      <c r="AE122" s="115">
        <v>0</v>
      </c>
      <c r="AF122" s="115">
        <v>0</v>
      </c>
      <c r="AG122" s="115">
        <v>0</v>
      </c>
      <c r="AH122" s="115">
        <v>0</v>
      </c>
      <c r="AI122" s="115">
        <v>0</v>
      </c>
      <c r="AJ122" s="115">
        <v>0</v>
      </c>
      <c r="AK122" s="115">
        <v>0</v>
      </c>
      <c r="AL122" s="58"/>
      <c r="AM122" s="58"/>
      <c r="AN122" s="58"/>
      <c r="AO122" s="58"/>
      <c r="AP122" s="58"/>
      <c r="AQ122" s="58"/>
      <c r="AR122" s="58"/>
      <c r="AS122" s="58"/>
      <c r="AT122" s="275">
        <v>1250000</v>
      </c>
      <c r="AU122" s="275">
        <v>1250000</v>
      </c>
      <c r="AV122" s="275">
        <v>1250000</v>
      </c>
      <c r="AW122" s="275">
        <v>1250000</v>
      </c>
      <c r="AX122" s="275">
        <f>3200000+5800000</f>
        <v>9000000</v>
      </c>
      <c r="AY122" s="47"/>
      <c r="AZ122" s="53">
        <f t="shared" si="40"/>
        <v>14000000</v>
      </c>
      <c r="BA122" s="51"/>
      <c r="BB122" s="359">
        <f t="shared" si="43"/>
        <v>0</v>
      </c>
      <c r="BD122" s="55"/>
    </row>
    <row r="123" spans="1:56" s="36" customFormat="1" ht="15.75" x14ac:dyDescent="0.25">
      <c r="A123" s="179" t="s">
        <v>800</v>
      </c>
      <c r="B123" s="180" t="s">
        <v>797</v>
      </c>
      <c r="C123" s="394" t="s">
        <v>45</v>
      </c>
      <c r="D123" s="52" t="s">
        <v>45</v>
      </c>
      <c r="E123" s="389"/>
      <c r="F123" s="52" t="s">
        <v>623</v>
      </c>
      <c r="G123" s="52" t="s">
        <v>320</v>
      </c>
      <c r="H123" s="435" t="s">
        <v>817</v>
      </c>
      <c r="I123" s="329">
        <v>44566</v>
      </c>
      <c r="J123" s="52"/>
      <c r="K123" s="87"/>
      <c r="L123" s="87"/>
      <c r="M123" s="87"/>
      <c r="N123" s="50">
        <f t="shared" si="41"/>
        <v>0</v>
      </c>
      <c r="O123" s="50">
        <f t="shared" si="38"/>
        <v>0</v>
      </c>
      <c r="P123" s="52" t="s">
        <v>320</v>
      </c>
      <c r="Q123" s="52"/>
      <c r="R123" s="52"/>
      <c r="S123" s="50"/>
      <c r="T123" s="378"/>
      <c r="U123" s="50"/>
      <c r="V123" s="50"/>
      <c r="W123" s="50"/>
      <c r="X123" s="53"/>
      <c r="Y123" s="115">
        <v>0</v>
      </c>
      <c r="Z123" s="115">
        <v>0</v>
      </c>
      <c r="AA123" s="115">
        <v>0</v>
      </c>
      <c r="AB123" s="115">
        <v>0</v>
      </c>
      <c r="AC123" s="115">
        <v>0</v>
      </c>
      <c r="AD123" s="115">
        <v>0</v>
      </c>
      <c r="AE123" s="115">
        <v>0</v>
      </c>
      <c r="AF123" s="115">
        <v>0</v>
      </c>
      <c r="AG123" s="115">
        <v>0</v>
      </c>
      <c r="AH123" s="115">
        <v>0</v>
      </c>
      <c r="AI123" s="115">
        <v>0</v>
      </c>
      <c r="AJ123" s="115">
        <v>0</v>
      </c>
      <c r="AK123" s="115">
        <v>0</v>
      </c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3"/>
      <c r="AY123" s="47"/>
      <c r="AZ123" s="53">
        <f t="shared" si="40"/>
        <v>0</v>
      </c>
      <c r="BA123" s="51"/>
      <c r="BB123" s="359">
        <f t="shared" si="43"/>
        <v>0</v>
      </c>
    </row>
    <row r="124" spans="1:56" s="36" customFormat="1" ht="15.75" x14ac:dyDescent="0.25">
      <c r="A124" s="179" t="s">
        <v>800</v>
      </c>
      <c r="B124" s="180" t="s">
        <v>798</v>
      </c>
      <c r="C124" s="394" t="s">
        <v>45</v>
      </c>
      <c r="D124" s="52" t="s">
        <v>45</v>
      </c>
      <c r="E124" s="389" t="s">
        <v>864</v>
      </c>
      <c r="F124" s="52" t="s">
        <v>623</v>
      </c>
      <c r="G124" s="52" t="s">
        <v>320</v>
      </c>
      <c r="H124" s="435" t="s">
        <v>813</v>
      </c>
      <c r="I124" s="329">
        <v>44551</v>
      </c>
      <c r="J124" s="52"/>
      <c r="K124" s="87"/>
      <c r="L124" s="87"/>
      <c r="M124" s="87"/>
      <c r="N124" s="50">
        <f t="shared" si="41"/>
        <v>0</v>
      </c>
      <c r="O124" s="50">
        <f t="shared" si="38"/>
        <v>0</v>
      </c>
      <c r="P124" s="52" t="s">
        <v>320</v>
      </c>
      <c r="Q124" s="52"/>
      <c r="R124" s="52"/>
      <c r="S124" s="50"/>
      <c r="T124" s="378"/>
      <c r="U124" s="50"/>
      <c r="V124" s="50"/>
      <c r="W124" s="50"/>
      <c r="X124" s="53"/>
      <c r="Y124" s="115">
        <v>0</v>
      </c>
      <c r="Z124" s="115">
        <v>0</v>
      </c>
      <c r="AA124" s="115">
        <v>0</v>
      </c>
      <c r="AB124" s="115">
        <v>0</v>
      </c>
      <c r="AC124" s="115">
        <v>0</v>
      </c>
      <c r="AD124" s="115">
        <v>0</v>
      </c>
      <c r="AE124" s="115">
        <v>0</v>
      </c>
      <c r="AF124" s="115">
        <v>0</v>
      </c>
      <c r="AG124" s="115">
        <v>0</v>
      </c>
      <c r="AH124" s="115">
        <v>0</v>
      </c>
      <c r="AI124" s="115">
        <v>0</v>
      </c>
      <c r="AJ124" s="115">
        <v>0</v>
      </c>
      <c r="AK124" s="115">
        <v>0</v>
      </c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3"/>
      <c r="AY124" s="47"/>
      <c r="AZ124" s="53">
        <f t="shared" si="40"/>
        <v>0</v>
      </c>
      <c r="BA124" s="51"/>
      <c r="BB124" s="359">
        <f t="shared" si="43"/>
        <v>0</v>
      </c>
    </row>
    <row r="125" spans="1:56" s="36" customFormat="1" ht="15.75" x14ac:dyDescent="0.25">
      <c r="A125" s="113" t="s">
        <v>800</v>
      </c>
      <c r="B125" s="113" t="s">
        <v>799</v>
      </c>
      <c r="C125" s="394" t="s">
        <v>45</v>
      </c>
      <c r="D125" s="52" t="s">
        <v>45</v>
      </c>
      <c r="E125" s="56" t="s">
        <v>862</v>
      </c>
      <c r="F125" s="52" t="s">
        <v>623</v>
      </c>
      <c r="G125" s="52" t="s">
        <v>320</v>
      </c>
      <c r="H125" s="435" t="s">
        <v>811</v>
      </c>
      <c r="I125" s="329">
        <v>44566</v>
      </c>
      <c r="J125" s="52"/>
      <c r="K125" s="87"/>
      <c r="L125" s="87"/>
      <c r="M125" s="87"/>
      <c r="N125" s="50">
        <f t="shared" si="41"/>
        <v>0</v>
      </c>
      <c r="O125" s="50">
        <f t="shared" si="38"/>
        <v>0</v>
      </c>
      <c r="P125" s="52" t="s">
        <v>320</v>
      </c>
      <c r="Q125" s="52"/>
      <c r="R125" s="52"/>
      <c r="S125" s="50"/>
      <c r="T125" s="378"/>
      <c r="U125" s="50"/>
      <c r="V125" s="50"/>
      <c r="W125" s="50"/>
      <c r="X125" s="53"/>
      <c r="Y125" s="115">
        <v>0</v>
      </c>
      <c r="Z125" s="115">
        <v>0</v>
      </c>
      <c r="AA125" s="115">
        <v>0</v>
      </c>
      <c r="AB125" s="115">
        <v>0</v>
      </c>
      <c r="AC125" s="115">
        <v>0</v>
      </c>
      <c r="AD125" s="115">
        <v>0</v>
      </c>
      <c r="AE125" s="115">
        <v>0</v>
      </c>
      <c r="AF125" s="115">
        <v>0</v>
      </c>
      <c r="AG125" s="115">
        <v>0</v>
      </c>
      <c r="AH125" s="115">
        <v>0</v>
      </c>
      <c r="AI125" s="115">
        <v>0</v>
      </c>
      <c r="AJ125" s="115">
        <v>0</v>
      </c>
      <c r="AK125" s="115">
        <v>0</v>
      </c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3"/>
      <c r="AY125" s="47"/>
      <c r="AZ125" s="53">
        <f t="shared" si="40"/>
        <v>0</v>
      </c>
      <c r="BA125" s="51"/>
      <c r="BB125" s="359">
        <f t="shared" si="43"/>
        <v>0</v>
      </c>
    </row>
    <row r="126" spans="1:56" s="36" customFormat="1" ht="15.75" x14ac:dyDescent="0.25">
      <c r="A126" s="113" t="s">
        <v>143</v>
      </c>
      <c r="B126" s="113" t="s">
        <v>145</v>
      </c>
      <c r="C126" s="52" t="s">
        <v>45</v>
      </c>
      <c r="D126" s="87" t="s">
        <v>704</v>
      </c>
      <c r="E126" s="244" t="s">
        <v>146</v>
      </c>
      <c r="F126" s="52" t="s">
        <v>623</v>
      </c>
      <c r="G126" s="52" t="s">
        <v>320</v>
      </c>
      <c r="H126" s="434" t="s">
        <v>835</v>
      </c>
      <c r="I126" s="52" t="s">
        <v>24</v>
      </c>
      <c r="J126" s="52">
        <v>44470</v>
      </c>
      <c r="K126" s="87">
        <v>44470</v>
      </c>
      <c r="L126" s="87">
        <v>44575</v>
      </c>
      <c r="M126" s="52">
        <v>44575</v>
      </c>
      <c r="N126" s="50">
        <f t="shared" si="41"/>
        <v>105</v>
      </c>
      <c r="O126" s="50">
        <f t="shared" ref="O126:O137" si="46">M126-K126</f>
        <v>105</v>
      </c>
      <c r="P126" s="52" t="s">
        <v>320</v>
      </c>
      <c r="Q126" s="87">
        <v>44666</v>
      </c>
      <c r="R126" s="52">
        <f>Q126+(9*4.3*7)</f>
        <v>44936.9</v>
      </c>
      <c r="S126" s="88">
        <v>9.0000000000000497</v>
      </c>
      <c r="T126" s="50">
        <f t="shared" ref="T126:T135" si="47">((R126-Q126)/7)/4.3</f>
        <v>9.0000000000000497</v>
      </c>
      <c r="U126" s="50"/>
      <c r="V126" s="88"/>
      <c r="W126" s="88"/>
      <c r="X126" s="58">
        <v>600000</v>
      </c>
      <c r="Y126" s="115">
        <v>0</v>
      </c>
      <c r="Z126" s="115">
        <v>0</v>
      </c>
      <c r="AA126" s="115">
        <v>0</v>
      </c>
      <c r="AB126" s="115">
        <v>0</v>
      </c>
      <c r="AC126" s="115">
        <v>0</v>
      </c>
      <c r="AD126" s="115">
        <v>0</v>
      </c>
      <c r="AE126" s="115">
        <v>0</v>
      </c>
      <c r="AF126" s="115">
        <v>0</v>
      </c>
      <c r="AG126" s="115">
        <v>0</v>
      </c>
      <c r="AH126" s="115">
        <v>0</v>
      </c>
      <c r="AI126" s="115">
        <v>0</v>
      </c>
      <c r="AJ126" s="115">
        <v>0</v>
      </c>
      <c r="AK126" s="115">
        <v>0</v>
      </c>
      <c r="AL126" s="58"/>
      <c r="AM126" s="58"/>
      <c r="AN126" s="58"/>
      <c r="AO126" s="275">
        <v>80000</v>
      </c>
      <c r="AP126" s="275">
        <v>80000</v>
      </c>
      <c r="AQ126" s="275">
        <v>80000</v>
      </c>
      <c r="AR126" s="275">
        <v>80000</v>
      </c>
      <c r="AS126" s="275">
        <v>80000</v>
      </c>
      <c r="AT126" s="275">
        <v>80000</v>
      </c>
      <c r="AU126" s="275">
        <f>45000+75000</f>
        <v>120000</v>
      </c>
      <c r="AV126" s="58"/>
      <c r="AW126" s="58"/>
      <c r="AX126" s="53"/>
      <c r="AY126" s="47"/>
      <c r="AZ126" s="53">
        <f t="shared" si="40"/>
        <v>600000</v>
      </c>
      <c r="BA126" s="51"/>
      <c r="BB126" s="359">
        <f t="shared" ref="BB126:BB135" si="48">AZ126-X126</f>
        <v>0</v>
      </c>
    </row>
    <row r="127" spans="1:56" s="36" customFormat="1" ht="15.75" x14ac:dyDescent="0.25">
      <c r="A127" s="113" t="s">
        <v>735</v>
      </c>
      <c r="B127" s="114" t="s">
        <v>736</v>
      </c>
      <c r="C127" s="52" t="s">
        <v>563</v>
      </c>
      <c r="D127" s="87" t="s">
        <v>704</v>
      </c>
      <c r="E127" s="57" t="s">
        <v>149</v>
      </c>
      <c r="F127" s="52" t="s">
        <v>623</v>
      </c>
      <c r="G127" s="52" t="s">
        <v>320</v>
      </c>
      <c r="H127" s="434" t="s">
        <v>835</v>
      </c>
      <c r="I127" s="330" t="s">
        <v>370</v>
      </c>
      <c r="J127" s="52">
        <v>44596</v>
      </c>
      <c r="K127" s="87">
        <v>44596</v>
      </c>
      <c r="L127" s="87">
        <v>44686</v>
      </c>
      <c r="M127" s="87">
        <f>K127+90</f>
        <v>44686</v>
      </c>
      <c r="N127" s="50">
        <f t="shared" si="41"/>
        <v>90</v>
      </c>
      <c r="O127" s="50">
        <f>M127-K127</f>
        <v>90</v>
      </c>
      <c r="P127" s="52" t="s">
        <v>320</v>
      </c>
      <c r="Q127" s="52">
        <v>44666</v>
      </c>
      <c r="R127" s="52">
        <f>Q127+(6*4.3*7)</f>
        <v>44846.6</v>
      </c>
      <c r="S127" s="50">
        <v>5.999999999999952</v>
      </c>
      <c r="T127" s="50">
        <f>((R127-Q127)/7)/4.3</f>
        <v>5.999999999999952</v>
      </c>
      <c r="U127" s="50"/>
      <c r="V127" s="50"/>
      <c r="W127" s="50"/>
      <c r="X127" s="53">
        <v>600000</v>
      </c>
      <c r="Y127" s="115">
        <v>0</v>
      </c>
      <c r="Z127" s="115">
        <v>0</v>
      </c>
      <c r="AA127" s="115">
        <v>0</v>
      </c>
      <c r="AB127" s="115">
        <v>0</v>
      </c>
      <c r="AC127" s="115">
        <v>0</v>
      </c>
      <c r="AD127" s="115">
        <v>0</v>
      </c>
      <c r="AE127" s="115">
        <v>0</v>
      </c>
      <c r="AF127" s="115">
        <v>0</v>
      </c>
      <c r="AG127" s="115">
        <v>0</v>
      </c>
      <c r="AH127" s="115">
        <v>0</v>
      </c>
      <c r="AI127" s="115">
        <v>0</v>
      </c>
      <c r="AJ127" s="115">
        <v>0</v>
      </c>
      <c r="AK127" s="115">
        <v>0</v>
      </c>
      <c r="AL127" s="58"/>
      <c r="AM127" s="58"/>
      <c r="AN127" s="58"/>
      <c r="AO127" s="58"/>
      <c r="AP127" s="58"/>
      <c r="AQ127" s="275">
        <v>25000</v>
      </c>
      <c r="AR127" s="275">
        <v>50000</v>
      </c>
      <c r="AS127" s="275">
        <v>80000</v>
      </c>
      <c r="AT127" s="275">
        <v>80000</v>
      </c>
      <c r="AU127" s="275">
        <v>80000</v>
      </c>
      <c r="AV127" s="275">
        <v>80000</v>
      </c>
      <c r="AW127" s="275">
        <v>80000</v>
      </c>
      <c r="AX127" s="275">
        <v>125000</v>
      </c>
      <c r="AY127" s="47"/>
      <c r="AZ127" s="53">
        <f t="shared" si="40"/>
        <v>600000</v>
      </c>
      <c r="BA127" s="51"/>
      <c r="BB127" s="359">
        <f t="shared" si="48"/>
        <v>0</v>
      </c>
      <c r="BD127" s="55"/>
    </row>
    <row r="128" spans="1:56" s="36" customFormat="1" ht="15.75" x14ac:dyDescent="0.25">
      <c r="A128" s="113" t="s">
        <v>737</v>
      </c>
      <c r="B128" s="114" t="s">
        <v>740</v>
      </c>
      <c r="C128" s="52" t="s">
        <v>563</v>
      </c>
      <c r="D128" s="87" t="s">
        <v>704</v>
      </c>
      <c r="E128" s="57" t="s">
        <v>149</v>
      </c>
      <c r="F128" s="52" t="s">
        <v>623</v>
      </c>
      <c r="G128" s="52" t="s">
        <v>320</v>
      </c>
      <c r="H128" s="434" t="s">
        <v>835</v>
      </c>
      <c r="I128" s="52" t="s">
        <v>320</v>
      </c>
      <c r="J128" s="52">
        <v>44596</v>
      </c>
      <c r="K128" s="87">
        <v>44596</v>
      </c>
      <c r="L128" s="87">
        <v>44686</v>
      </c>
      <c r="M128" s="87">
        <f>K128+90</f>
        <v>44686</v>
      </c>
      <c r="N128" s="50">
        <f t="shared" si="41"/>
        <v>90</v>
      </c>
      <c r="O128" s="50">
        <f>M128-K128</f>
        <v>90</v>
      </c>
      <c r="P128" s="52" t="s">
        <v>320</v>
      </c>
      <c r="Q128" s="52">
        <f>M128+30</f>
        <v>44716</v>
      </c>
      <c r="R128" s="52">
        <f>Q128+(9*4.3*7)</f>
        <v>44986.9</v>
      </c>
      <c r="S128" s="50">
        <v>9.0000000000000497</v>
      </c>
      <c r="T128" s="50">
        <f>((R128-Q128)/7)/4.3</f>
        <v>9.0000000000000497</v>
      </c>
      <c r="U128" s="50"/>
      <c r="V128" s="50"/>
      <c r="W128" s="50"/>
      <c r="X128" s="53"/>
      <c r="Y128" s="115">
        <v>0</v>
      </c>
      <c r="Z128" s="115">
        <v>0</v>
      </c>
      <c r="AA128" s="115">
        <v>0</v>
      </c>
      <c r="AB128" s="115">
        <v>0</v>
      </c>
      <c r="AC128" s="115">
        <v>0</v>
      </c>
      <c r="AD128" s="115">
        <v>0</v>
      </c>
      <c r="AE128" s="115">
        <v>0</v>
      </c>
      <c r="AF128" s="115">
        <v>0</v>
      </c>
      <c r="AG128" s="115">
        <v>0</v>
      </c>
      <c r="AH128" s="115">
        <v>0</v>
      </c>
      <c r="AI128" s="115">
        <v>0</v>
      </c>
      <c r="AJ128" s="115">
        <v>0</v>
      </c>
      <c r="AK128" s="115">
        <v>0</v>
      </c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3"/>
      <c r="AY128" s="47"/>
      <c r="AZ128" s="53">
        <f t="shared" si="40"/>
        <v>0</v>
      </c>
      <c r="BA128" s="51"/>
      <c r="BB128" s="359">
        <f t="shared" si="48"/>
        <v>0</v>
      </c>
      <c r="BD128" s="55"/>
    </row>
    <row r="129" spans="1:56" s="36" customFormat="1" ht="15.75" x14ac:dyDescent="0.25">
      <c r="A129" s="113" t="s">
        <v>738</v>
      </c>
      <c r="B129" s="114" t="s">
        <v>740</v>
      </c>
      <c r="C129" s="52" t="s">
        <v>563</v>
      </c>
      <c r="D129" s="87" t="s">
        <v>704</v>
      </c>
      <c r="E129" s="57" t="s">
        <v>149</v>
      </c>
      <c r="F129" s="52" t="s">
        <v>623</v>
      </c>
      <c r="G129" s="52" t="s">
        <v>320</v>
      </c>
      <c r="H129" s="434" t="s">
        <v>835</v>
      </c>
      <c r="I129" s="52" t="s">
        <v>320</v>
      </c>
      <c r="J129" s="52">
        <v>44596</v>
      </c>
      <c r="K129" s="87">
        <v>44596</v>
      </c>
      <c r="L129" s="87">
        <v>44686</v>
      </c>
      <c r="M129" s="87">
        <f>K129+90</f>
        <v>44686</v>
      </c>
      <c r="N129" s="50">
        <f t="shared" si="41"/>
        <v>90</v>
      </c>
      <c r="O129" s="50">
        <f>M129-K129</f>
        <v>90</v>
      </c>
      <c r="P129" s="52" t="s">
        <v>320</v>
      </c>
      <c r="Q129" s="52">
        <f>M129+30</f>
        <v>44716</v>
      </c>
      <c r="R129" s="52">
        <f>Q129+(9*4.3*7)</f>
        <v>44986.9</v>
      </c>
      <c r="S129" s="50">
        <v>9.0000000000000497</v>
      </c>
      <c r="T129" s="50">
        <f>((R129-Q129)/7)/4.3</f>
        <v>9.0000000000000497</v>
      </c>
      <c r="U129" s="50"/>
      <c r="V129" s="50"/>
      <c r="W129" s="50"/>
      <c r="X129" s="53"/>
      <c r="Y129" s="115">
        <v>0</v>
      </c>
      <c r="Z129" s="115">
        <v>0</v>
      </c>
      <c r="AA129" s="115">
        <v>0</v>
      </c>
      <c r="AB129" s="115">
        <v>0</v>
      </c>
      <c r="AC129" s="115">
        <v>0</v>
      </c>
      <c r="AD129" s="115">
        <v>0</v>
      </c>
      <c r="AE129" s="115">
        <v>0</v>
      </c>
      <c r="AF129" s="115">
        <v>0</v>
      </c>
      <c r="AG129" s="115">
        <v>0</v>
      </c>
      <c r="AH129" s="115">
        <v>0</v>
      </c>
      <c r="AI129" s="115">
        <v>0</v>
      </c>
      <c r="AJ129" s="115">
        <v>0</v>
      </c>
      <c r="AK129" s="115">
        <v>0</v>
      </c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3"/>
      <c r="AY129" s="47"/>
      <c r="AZ129" s="53">
        <f t="shared" si="40"/>
        <v>0</v>
      </c>
      <c r="BA129" s="51"/>
      <c r="BB129" s="359">
        <f t="shared" si="48"/>
        <v>0</v>
      </c>
    </row>
    <row r="130" spans="1:56" s="36" customFormat="1" ht="15.75" x14ac:dyDescent="0.25">
      <c r="A130" s="374" t="s">
        <v>795</v>
      </c>
      <c r="B130" s="375" t="s">
        <v>804</v>
      </c>
      <c r="C130" s="52" t="s">
        <v>708</v>
      </c>
      <c r="D130" s="52" t="s">
        <v>704</v>
      </c>
      <c r="E130" s="57" t="s">
        <v>711</v>
      </c>
      <c r="F130" s="52" t="s">
        <v>623</v>
      </c>
      <c r="G130" s="52" t="s">
        <v>320</v>
      </c>
      <c r="H130" s="422" t="s">
        <v>820</v>
      </c>
      <c r="I130" s="330" t="s">
        <v>370</v>
      </c>
      <c r="J130" s="87">
        <v>44551</v>
      </c>
      <c r="K130" s="329" t="s">
        <v>24</v>
      </c>
      <c r="L130" s="329" t="s">
        <v>24</v>
      </c>
      <c r="M130" s="329" t="s">
        <v>24</v>
      </c>
      <c r="N130" s="329" t="s">
        <v>24</v>
      </c>
      <c r="O130" s="329" t="s">
        <v>24</v>
      </c>
      <c r="P130" s="52" t="s">
        <v>320</v>
      </c>
      <c r="Q130" s="376">
        <v>44627</v>
      </c>
      <c r="R130" s="52">
        <v>44715</v>
      </c>
      <c r="S130" s="50">
        <v>2.9235880398671097</v>
      </c>
      <c r="T130" s="50">
        <f t="shared" si="47"/>
        <v>2.9235880398671097</v>
      </c>
      <c r="U130" s="50"/>
      <c r="V130" s="50"/>
      <c r="W130" s="50"/>
      <c r="X130" s="182"/>
      <c r="Y130" s="115">
        <v>0</v>
      </c>
      <c r="Z130" s="115">
        <v>0</v>
      </c>
      <c r="AA130" s="115">
        <v>0</v>
      </c>
      <c r="AB130" s="115">
        <v>0</v>
      </c>
      <c r="AC130" s="115">
        <v>0</v>
      </c>
      <c r="AD130" s="115">
        <v>0</v>
      </c>
      <c r="AE130" s="115">
        <f>7716</f>
        <v>7716</v>
      </c>
      <c r="AF130" s="115">
        <v>0</v>
      </c>
      <c r="AG130" s="115">
        <v>12408</v>
      </c>
      <c r="AH130" s="115">
        <v>0</v>
      </c>
      <c r="AI130" s="115">
        <v>0</v>
      </c>
      <c r="AJ130" s="115">
        <v>0</v>
      </c>
      <c r="AK130" s="115">
        <v>0</v>
      </c>
      <c r="AL130" s="58"/>
      <c r="AM130" s="58"/>
      <c r="AN130" s="275"/>
      <c r="AO130" s="275"/>
      <c r="AP130" s="275"/>
      <c r="AQ130" s="275"/>
      <c r="AR130" s="58"/>
      <c r="AS130" s="58"/>
      <c r="AT130" s="58"/>
      <c r="AU130" s="58"/>
      <c r="AV130" s="58"/>
      <c r="AW130" s="58">
        <v>-20124</v>
      </c>
      <c r="AX130" s="53"/>
      <c r="AY130" s="47"/>
      <c r="AZ130" s="53">
        <f t="shared" si="40"/>
        <v>0</v>
      </c>
      <c r="BA130" s="51"/>
      <c r="BB130" s="359">
        <f t="shared" si="48"/>
        <v>0</v>
      </c>
    </row>
    <row r="131" spans="1:56" s="36" customFormat="1" ht="15.75" x14ac:dyDescent="0.25">
      <c r="A131" s="374" t="s">
        <v>156</v>
      </c>
      <c r="B131" s="375" t="s">
        <v>157</v>
      </c>
      <c r="C131" s="52" t="s">
        <v>708</v>
      </c>
      <c r="D131" s="87" t="s">
        <v>704</v>
      </c>
      <c r="E131" s="57" t="s">
        <v>158</v>
      </c>
      <c r="F131" s="52" t="s">
        <v>623</v>
      </c>
      <c r="G131" s="52" t="s">
        <v>320</v>
      </c>
      <c r="H131" s="87" t="s">
        <v>837</v>
      </c>
      <c r="I131" s="329" t="s">
        <v>370</v>
      </c>
      <c r="J131" s="52">
        <v>44497</v>
      </c>
      <c r="K131" s="329">
        <v>44362</v>
      </c>
      <c r="L131" s="298">
        <v>44547</v>
      </c>
      <c r="M131" s="87">
        <v>44599</v>
      </c>
      <c r="N131" s="50">
        <f t="shared" si="41"/>
        <v>50</v>
      </c>
      <c r="O131" s="50">
        <f t="shared" si="46"/>
        <v>237</v>
      </c>
      <c r="P131" s="52" t="s">
        <v>320</v>
      </c>
      <c r="Q131" s="376">
        <v>44606</v>
      </c>
      <c r="R131" s="52">
        <f>Q131+(9*4.3*7)</f>
        <v>44876.9</v>
      </c>
      <c r="S131" s="50">
        <v>9.0000000000000497</v>
      </c>
      <c r="T131" s="50">
        <f t="shared" si="47"/>
        <v>9.0000000000000497</v>
      </c>
      <c r="U131" s="50"/>
      <c r="V131" s="50"/>
      <c r="W131" s="50"/>
      <c r="X131" s="53">
        <v>2000000</v>
      </c>
      <c r="Y131" s="115">
        <v>0</v>
      </c>
      <c r="Z131" s="115">
        <v>0</v>
      </c>
      <c r="AA131" s="115">
        <v>0</v>
      </c>
      <c r="AB131" s="115">
        <v>0</v>
      </c>
      <c r="AC131" s="115">
        <v>0</v>
      </c>
      <c r="AD131" s="115">
        <v>0</v>
      </c>
      <c r="AE131" s="115">
        <v>0</v>
      </c>
      <c r="AF131" s="115">
        <v>0</v>
      </c>
      <c r="AG131" s="115">
        <v>0</v>
      </c>
      <c r="AH131" s="115">
        <v>0</v>
      </c>
      <c r="AI131" s="115">
        <v>0</v>
      </c>
      <c r="AJ131" s="115">
        <v>0</v>
      </c>
      <c r="AK131" s="115">
        <v>0</v>
      </c>
      <c r="AL131" s="275"/>
      <c r="AM131" s="275"/>
      <c r="AN131" s="275">
        <v>250000</v>
      </c>
      <c r="AO131" s="275">
        <v>25000</v>
      </c>
      <c r="AP131" s="275">
        <v>250000</v>
      </c>
      <c r="AQ131" s="275">
        <v>300000</v>
      </c>
      <c r="AR131" s="275">
        <v>300000</v>
      </c>
      <c r="AS131" s="275">
        <v>150000</v>
      </c>
      <c r="AT131" s="58"/>
      <c r="AU131" s="58"/>
      <c r="AV131" s="58"/>
      <c r="AW131" s="58">
        <v>725000</v>
      </c>
      <c r="AX131" s="53"/>
      <c r="AY131" s="47"/>
      <c r="AZ131" s="53">
        <f t="shared" si="40"/>
        <v>2000000</v>
      </c>
      <c r="BA131" s="51"/>
      <c r="BB131" s="359">
        <f t="shared" si="48"/>
        <v>0</v>
      </c>
    </row>
    <row r="132" spans="1:56" s="36" customFormat="1" ht="15.75" x14ac:dyDescent="0.25">
      <c r="A132" s="374" t="s">
        <v>159</v>
      </c>
      <c r="B132" s="375" t="s">
        <v>428</v>
      </c>
      <c r="C132" s="52" t="s">
        <v>708</v>
      </c>
      <c r="D132" s="87" t="s">
        <v>704</v>
      </c>
      <c r="E132" s="56" t="s">
        <v>158</v>
      </c>
      <c r="F132" s="52" t="s">
        <v>623</v>
      </c>
      <c r="G132" s="52" t="s">
        <v>320</v>
      </c>
      <c r="H132" s="87" t="s">
        <v>837</v>
      </c>
      <c r="I132" s="330" t="s">
        <v>370</v>
      </c>
      <c r="J132" s="52">
        <v>44526</v>
      </c>
      <c r="K132" s="87">
        <v>44526</v>
      </c>
      <c r="L132" s="87">
        <v>44616</v>
      </c>
      <c r="M132" s="87">
        <f>K132+90</f>
        <v>44616</v>
      </c>
      <c r="N132" s="50">
        <f t="shared" si="41"/>
        <v>90</v>
      </c>
      <c r="O132" s="50">
        <f t="shared" si="46"/>
        <v>90</v>
      </c>
      <c r="P132" s="52" t="s">
        <v>320</v>
      </c>
      <c r="Q132" s="376">
        <f>M132+30</f>
        <v>44646</v>
      </c>
      <c r="R132" s="52">
        <f>Q132+(4*4.3*7)</f>
        <v>44766.400000000001</v>
      </c>
      <c r="S132" s="50">
        <v>4.0000000000000488</v>
      </c>
      <c r="T132" s="50">
        <f t="shared" si="47"/>
        <v>4.0000000000000488</v>
      </c>
      <c r="U132" s="50"/>
      <c r="V132" s="50"/>
      <c r="W132" s="50"/>
      <c r="X132" s="53">
        <v>550000</v>
      </c>
      <c r="Y132" s="115">
        <v>0</v>
      </c>
      <c r="Z132" s="115">
        <v>0</v>
      </c>
      <c r="AA132" s="115">
        <v>0</v>
      </c>
      <c r="AB132" s="115">
        <v>0</v>
      </c>
      <c r="AC132" s="115">
        <v>0</v>
      </c>
      <c r="AD132" s="115">
        <v>0</v>
      </c>
      <c r="AE132" s="115">
        <v>0</v>
      </c>
      <c r="AF132" s="115">
        <v>0</v>
      </c>
      <c r="AG132" s="115">
        <v>0</v>
      </c>
      <c r="AH132" s="115">
        <v>0</v>
      </c>
      <c r="AI132" s="115">
        <v>0</v>
      </c>
      <c r="AJ132" s="115">
        <v>0</v>
      </c>
      <c r="AK132" s="115">
        <v>0</v>
      </c>
      <c r="AL132" s="58"/>
      <c r="AM132" s="58"/>
      <c r="AN132" s="275">
        <v>50000</v>
      </c>
      <c r="AO132" s="275">
        <v>100000</v>
      </c>
      <c r="AP132" s="275">
        <v>100000</v>
      </c>
      <c r="AQ132" s="275">
        <v>100000</v>
      </c>
      <c r="AR132" s="275">
        <v>100000</v>
      </c>
      <c r="AS132" s="58"/>
      <c r="AT132" s="58"/>
      <c r="AU132" s="58"/>
      <c r="AV132" s="58"/>
      <c r="AW132" s="58">
        <v>50000</v>
      </c>
      <c r="AX132" s="53"/>
      <c r="AY132" s="47"/>
      <c r="AZ132" s="53">
        <f t="shared" si="40"/>
        <v>500000</v>
      </c>
      <c r="BA132" s="51"/>
      <c r="BB132" s="359">
        <f t="shared" si="48"/>
        <v>-50000</v>
      </c>
      <c r="BD132" s="55"/>
    </row>
    <row r="133" spans="1:56" s="36" customFormat="1" ht="15.75" x14ac:dyDescent="0.25">
      <c r="A133" s="113" t="s">
        <v>394</v>
      </c>
      <c r="B133" s="114" t="s">
        <v>763</v>
      </c>
      <c r="C133" s="52" t="s">
        <v>708</v>
      </c>
      <c r="D133" s="87" t="s">
        <v>704</v>
      </c>
      <c r="E133" s="56" t="s">
        <v>149</v>
      </c>
      <c r="F133" s="52" t="s">
        <v>623</v>
      </c>
      <c r="G133" s="52" t="s">
        <v>320</v>
      </c>
      <c r="H133" s="87" t="s">
        <v>836</v>
      </c>
      <c r="I133" s="330" t="s">
        <v>370</v>
      </c>
      <c r="J133" s="52">
        <v>44491</v>
      </c>
      <c r="K133" s="87">
        <v>44491</v>
      </c>
      <c r="L133" s="87">
        <v>44575</v>
      </c>
      <c r="M133" s="87">
        <v>44575</v>
      </c>
      <c r="N133" s="50">
        <f t="shared" si="41"/>
        <v>84</v>
      </c>
      <c r="O133" s="50">
        <f t="shared" si="46"/>
        <v>84</v>
      </c>
      <c r="P133" s="52" t="s">
        <v>320</v>
      </c>
      <c r="Q133" s="52">
        <v>44666</v>
      </c>
      <c r="R133" s="52">
        <f>Q133+(9*4.3*7)</f>
        <v>44936.9</v>
      </c>
      <c r="S133" s="50">
        <v>9.0000000000000497</v>
      </c>
      <c r="T133" s="50">
        <f t="shared" si="47"/>
        <v>9.0000000000000497</v>
      </c>
      <c r="U133" s="50"/>
      <c r="V133" s="50"/>
      <c r="W133" s="50"/>
      <c r="X133" s="53">
        <v>750000</v>
      </c>
      <c r="Y133" s="115">
        <v>0</v>
      </c>
      <c r="Z133" s="115">
        <v>0</v>
      </c>
      <c r="AA133" s="115">
        <v>0</v>
      </c>
      <c r="AB133" s="115">
        <v>0</v>
      </c>
      <c r="AC133" s="115">
        <v>0</v>
      </c>
      <c r="AD133" s="115">
        <v>0</v>
      </c>
      <c r="AE133" s="115">
        <v>0</v>
      </c>
      <c r="AF133" s="115">
        <v>0</v>
      </c>
      <c r="AG133" s="115">
        <v>0</v>
      </c>
      <c r="AH133" s="115">
        <v>0</v>
      </c>
      <c r="AI133" s="115">
        <v>0</v>
      </c>
      <c r="AJ133" s="115">
        <v>0</v>
      </c>
      <c r="AK133" s="115">
        <v>0</v>
      </c>
      <c r="AL133" s="58"/>
      <c r="AM133" s="58"/>
      <c r="AN133" s="58"/>
      <c r="AO133" s="275">
        <v>90000</v>
      </c>
      <c r="AP133" s="275">
        <v>90000</v>
      </c>
      <c r="AQ133" s="275">
        <v>90000</v>
      </c>
      <c r="AR133" s="275">
        <v>90000</v>
      </c>
      <c r="AS133" s="275">
        <v>90000</v>
      </c>
      <c r="AT133" s="275">
        <v>90000</v>
      </c>
      <c r="AU133" s="275">
        <v>65000</v>
      </c>
      <c r="AV133" s="275">
        <f>50000+95000</f>
        <v>145000</v>
      </c>
      <c r="AW133" s="58"/>
      <c r="AX133" s="53"/>
      <c r="AY133" s="47"/>
      <c r="AZ133" s="53">
        <f t="shared" si="40"/>
        <v>750000</v>
      </c>
      <c r="BA133" s="51"/>
      <c r="BB133" s="359">
        <f t="shared" si="48"/>
        <v>0</v>
      </c>
      <c r="BD133" s="55"/>
    </row>
    <row r="134" spans="1:56" s="36" customFormat="1" ht="15.75" x14ac:dyDescent="0.25">
      <c r="A134" s="113" t="s">
        <v>228</v>
      </c>
      <c r="B134" s="114" t="s">
        <v>579</v>
      </c>
      <c r="C134" s="52" t="s">
        <v>45</v>
      </c>
      <c r="D134" s="87" t="s">
        <v>45</v>
      </c>
      <c r="E134" s="57" t="s">
        <v>230</v>
      </c>
      <c r="F134" s="52" t="s">
        <v>623</v>
      </c>
      <c r="G134" s="52" t="s">
        <v>320</v>
      </c>
      <c r="H134" s="432" t="s">
        <v>838</v>
      </c>
      <c r="I134" s="330" t="s">
        <v>370</v>
      </c>
      <c r="J134" s="52">
        <v>44530</v>
      </c>
      <c r="K134" s="87">
        <v>44530</v>
      </c>
      <c r="L134" s="87">
        <v>44620</v>
      </c>
      <c r="M134" s="87">
        <f>K134+90</f>
        <v>44620</v>
      </c>
      <c r="N134" s="50">
        <f t="shared" si="41"/>
        <v>90</v>
      </c>
      <c r="O134" s="50">
        <f t="shared" si="46"/>
        <v>90</v>
      </c>
      <c r="P134" s="52" t="s">
        <v>320</v>
      </c>
      <c r="Q134" s="376">
        <f>M134+30</f>
        <v>44650</v>
      </c>
      <c r="R134" s="52">
        <f>Q134+(9*4.3*7)</f>
        <v>44920.9</v>
      </c>
      <c r="S134" s="50">
        <v>9.0000000000000497</v>
      </c>
      <c r="T134" s="50">
        <f t="shared" si="47"/>
        <v>9.0000000000000497</v>
      </c>
      <c r="U134" s="50"/>
      <c r="V134" s="52"/>
      <c r="W134" s="52"/>
      <c r="X134" s="53">
        <v>2229000</v>
      </c>
      <c r="Y134" s="115">
        <v>0</v>
      </c>
      <c r="Z134" s="115">
        <v>0</v>
      </c>
      <c r="AA134" s="115">
        <v>0</v>
      </c>
      <c r="AB134" s="115">
        <v>0</v>
      </c>
      <c r="AC134" s="115">
        <v>0</v>
      </c>
      <c r="AD134" s="115">
        <v>0</v>
      </c>
      <c r="AE134" s="115">
        <v>0</v>
      </c>
      <c r="AF134" s="115">
        <v>0</v>
      </c>
      <c r="AG134" s="115">
        <v>0</v>
      </c>
      <c r="AH134" s="115">
        <v>0</v>
      </c>
      <c r="AI134" s="115">
        <v>0</v>
      </c>
      <c r="AJ134" s="115">
        <v>0</v>
      </c>
      <c r="AK134" s="115">
        <v>0</v>
      </c>
      <c r="AL134" s="58"/>
      <c r="AM134" s="58"/>
      <c r="AN134" s="275">
        <v>125000</v>
      </c>
      <c r="AO134" s="275">
        <v>175000</v>
      </c>
      <c r="AP134" s="275">
        <v>225000</v>
      </c>
      <c r="AQ134" s="275">
        <v>250000</v>
      </c>
      <c r="AR134" s="275">
        <v>250000</v>
      </c>
      <c r="AS134" s="275">
        <v>250000</v>
      </c>
      <c r="AT134" s="275">
        <v>250000</v>
      </c>
      <c r="AU134" s="275">
        <v>250000</v>
      </c>
      <c r="AV134" s="275">
        <v>250000</v>
      </c>
      <c r="AW134" s="275">
        <v>204000</v>
      </c>
      <c r="AX134" s="53"/>
      <c r="AY134" s="47"/>
      <c r="AZ134" s="53">
        <f t="shared" si="40"/>
        <v>2229000</v>
      </c>
      <c r="BA134" s="51"/>
      <c r="BB134" s="359">
        <f t="shared" si="48"/>
        <v>0</v>
      </c>
    </row>
    <row r="135" spans="1:56" s="36" customFormat="1" ht="15.75" x14ac:dyDescent="0.25">
      <c r="A135" s="113" t="s">
        <v>578</v>
      </c>
      <c r="B135" s="114" t="s">
        <v>443</v>
      </c>
      <c r="C135" s="52" t="s">
        <v>45</v>
      </c>
      <c r="D135" s="87" t="s">
        <v>45</v>
      </c>
      <c r="E135" s="57" t="s">
        <v>230</v>
      </c>
      <c r="F135" s="52" t="s">
        <v>623</v>
      </c>
      <c r="G135" s="52" t="s">
        <v>320</v>
      </c>
      <c r="H135" s="432" t="s">
        <v>838</v>
      </c>
      <c r="I135" s="330" t="s">
        <v>370</v>
      </c>
      <c r="J135" s="52">
        <v>44530</v>
      </c>
      <c r="K135" s="87">
        <v>44530</v>
      </c>
      <c r="L135" s="87">
        <v>44620</v>
      </c>
      <c r="M135" s="87">
        <v>44620</v>
      </c>
      <c r="N135" s="50">
        <f t="shared" si="41"/>
        <v>90</v>
      </c>
      <c r="O135" s="50">
        <f t="shared" si="46"/>
        <v>90</v>
      </c>
      <c r="P135" s="52" t="s">
        <v>320</v>
      </c>
      <c r="Q135" s="87">
        <f>M135+90</f>
        <v>44710</v>
      </c>
      <c r="R135" s="52">
        <f>Q135+(4*4.3*7)</f>
        <v>44830.400000000001</v>
      </c>
      <c r="S135" s="50">
        <v>4.0000000000000488</v>
      </c>
      <c r="T135" s="50">
        <f t="shared" si="47"/>
        <v>4.0000000000000488</v>
      </c>
      <c r="U135" s="50"/>
      <c r="V135" s="50"/>
      <c r="W135" s="50"/>
      <c r="X135" s="53">
        <v>360000</v>
      </c>
      <c r="Y135" s="115">
        <v>0</v>
      </c>
      <c r="Z135" s="115">
        <v>0</v>
      </c>
      <c r="AA135" s="115">
        <v>0</v>
      </c>
      <c r="AB135" s="115">
        <v>0</v>
      </c>
      <c r="AC135" s="115">
        <v>0</v>
      </c>
      <c r="AD135" s="115">
        <v>0</v>
      </c>
      <c r="AE135" s="115">
        <v>0</v>
      </c>
      <c r="AF135" s="115">
        <v>0</v>
      </c>
      <c r="AG135" s="115">
        <v>0</v>
      </c>
      <c r="AH135" s="115">
        <v>0</v>
      </c>
      <c r="AI135" s="115">
        <v>0</v>
      </c>
      <c r="AJ135" s="115">
        <v>0</v>
      </c>
      <c r="AK135" s="115">
        <v>0</v>
      </c>
      <c r="AL135" s="58"/>
      <c r="AM135" s="58"/>
      <c r="AN135" s="58"/>
      <c r="AO135" s="58"/>
      <c r="AP135" s="275">
        <v>50000</v>
      </c>
      <c r="AQ135" s="275">
        <v>75000</v>
      </c>
      <c r="AR135" s="275">
        <v>125000</v>
      </c>
      <c r="AS135" s="275">
        <v>110000</v>
      </c>
      <c r="AT135" s="58"/>
      <c r="AU135" s="58"/>
      <c r="AV135" s="58"/>
      <c r="AW135" s="58"/>
      <c r="AX135" s="53"/>
      <c r="AY135" s="47"/>
      <c r="AZ135" s="53">
        <f t="shared" si="40"/>
        <v>360000</v>
      </c>
      <c r="BA135" s="51"/>
      <c r="BB135" s="359">
        <f t="shared" si="48"/>
        <v>0</v>
      </c>
      <c r="BD135" s="55"/>
    </row>
    <row r="136" spans="1:56" s="36" customFormat="1" ht="15.75" x14ac:dyDescent="0.25">
      <c r="A136" s="113"/>
      <c r="B136" s="114" t="s">
        <v>840</v>
      </c>
      <c r="C136" s="52"/>
      <c r="D136" s="87"/>
      <c r="E136" s="57" t="s">
        <v>839</v>
      </c>
      <c r="F136" s="52"/>
      <c r="G136" s="52"/>
      <c r="H136" s="432" t="s">
        <v>843</v>
      </c>
      <c r="I136" s="299">
        <v>44722</v>
      </c>
      <c r="J136" s="52"/>
      <c r="K136" s="87"/>
      <c r="L136" s="87"/>
      <c r="M136" s="87"/>
      <c r="N136" s="50">
        <f t="shared" si="41"/>
        <v>0</v>
      </c>
      <c r="O136" s="50">
        <f t="shared" si="46"/>
        <v>0</v>
      </c>
      <c r="P136" s="52" t="s">
        <v>320</v>
      </c>
      <c r="Q136" s="87"/>
      <c r="R136" s="52"/>
      <c r="S136" s="50"/>
      <c r="T136" s="50"/>
      <c r="U136" s="50"/>
      <c r="V136" s="50"/>
      <c r="W136" s="50"/>
      <c r="X136" s="53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>
        <v>0</v>
      </c>
      <c r="AL136" s="58"/>
      <c r="AM136" s="58"/>
      <c r="AN136" s="58"/>
      <c r="AO136" s="58"/>
      <c r="AP136" s="275"/>
      <c r="AQ136" s="275"/>
      <c r="AR136" s="275"/>
      <c r="AS136" s="275"/>
      <c r="AT136" s="58"/>
      <c r="AU136" s="58"/>
      <c r="AV136" s="58"/>
      <c r="AW136" s="58"/>
      <c r="AX136" s="53"/>
      <c r="AY136" s="47"/>
      <c r="AZ136" s="53">
        <f t="shared" si="40"/>
        <v>0</v>
      </c>
      <c r="BA136" s="51"/>
      <c r="BB136" s="359"/>
      <c r="BD136" s="55"/>
    </row>
    <row r="137" spans="1:56" s="36" customFormat="1" ht="15.75" x14ac:dyDescent="0.25">
      <c r="A137" s="113"/>
      <c r="B137" s="114" t="s">
        <v>841</v>
      </c>
      <c r="C137" s="52"/>
      <c r="D137" s="87"/>
      <c r="E137" s="57" t="s">
        <v>844</v>
      </c>
      <c r="F137" s="52"/>
      <c r="G137" s="52"/>
      <c r="H137" s="432" t="s">
        <v>842</v>
      </c>
      <c r="I137" s="299">
        <v>44655</v>
      </c>
      <c r="J137" s="52"/>
      <c r="K137" s="87"/>
      <c r="L137" s="87"/>
      <c r="M137" s="87"/>
      <c r="N137" s="50">
        <f t="shared" si="41"/>
        <v>0</v>
      </c>
      <c r="O137" s="50">
        <f t="shared" si="46"/>
        <v>0</v>
      </c>
      <c r="P137" s="52" t="s">
        <v>320</v>
      </c>
      <c r="Q137" s="87"/>
      <c r="R137" s="52"/>
      <c r="S137" s="50"/>
      <c r="T137" s="50"/>
      <c r="U137" s="50"/>
      <c r="V137" s="50"/>
      <c r="W137" s="50"/>
      <c r="X137" s="53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>
        <v>0</v>
      </c>
      <c r="AL137" s="58"/>
      <c r="AM137" s="58"/>
      <c r="AN137" s="58"/>
      <c r="AO137" s="58"/>
      <c r="AP137" s="275"/>
      <c r="AQ137" s="275"/>
      <c r="AR137" s="275"/>
      <c r="AS137" s="275"/>
      <c r="AT137" s="58"/>
      <c r="AU137" s="58"/>
      <c r="AV137" s="58"/>
      <c r="AW137" s="58"/>
      <c r="AX137" s="53"/>
      <c r="AY137" s="47"/>
      <c r="AZ137" s="53">
        <f t="shared" si="40"/>
        <v>0</v>
      </c>
      <c r="BA137" s="51"/>
      <c r="BB137" s="359"/>
      <c r="BD137" s="55"/>
    </row>
    <row r="138" spans="1:56" s="36" customFormat="1" ht="15.75" x14ac:dyDescent="0.25">
      <c r="A138" s="113" t="s">
        <v>865</v>
      </c>
      <c r="B138" s="114" t="s">
        <v>866</v>
      </c>
      <c r="C138" s="52"/>
      <c r="D138" s="87"/>
      <c r="E138" s="57"/>
      <c r="F138" s="52"/>
      <c r="G138" s="52"/>
      <c r="H138" s="432" t="s">
        <v>867</v>
      </c>
      <c r="I138" s="330"/>
      <c r="J138" s="52"/>
      <c r="K138" s="87"/>
      <c r="L138" s="87"/>
      <c r="M138" s="87"/>
      <c r="N138" s="87"/>
      <c r="O138" s="50"/>
      <c r="P138" s="52"/>
      <c r="Q138" s="87"/>
      <c r="R138" s="52"/>
      <c r="S138" s="50"/>
      <c r="T138" s="50"/>
      <c r="U138" s="50"/>
      <c r="V138" s="50"/>
      <c r="W138" s="50"/>
      <c r="X138" s="53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>
        <v>96582.13</v>
      </c>
      <c r="AL138" s="58"/>
      <c r="AM138" s="58"/>
      <c r="AN138" s="58"/>
      <c r="AO138" s="58"/>
      <c r="AP138" s="275"/>
      <c r="AQ138" s="275"/>
      <c r="AR138" s="275"/>
      <c r="AS138" s="275"/>
      <c r="AT138" s="58"/>
      <c r="AU138" s="58"/>
      <c r="AV138" s="58"/>
      <c r="AW138" s="58"/>
      <c r="AX138" s="53"/>
      <c r="AY138" s="47"/>
      <c r="AZ138" s="53"/>
      <c r="BA138" s="51"/>
      <c r="BB138" s="359"/>
      <c r="BD138" s="55"/>
    </row>
    <row r="139" spans="1:56" s="36" customFormat="1" ht="15.75" x14ac:dyDescent="0.25">
      <c r="A139" s="113"/>
      <c r="B139" s="114"/>
      <c r="C139" s="52"/>
      <c r="D139" s="87"/>
      <c r="E139" s="57"/>
      <c r="F139" s="52"/>
      <c r="G139" s="52"/>
      <c r="H139" s="432"/>
      <c r="I139" s="330"/>
      <c r="J139" s="52"/>
      <c r="K139" s="87"/>
      <c r="L139" s="87"/>
      <c r="M139" s="87"/>
      <c r="N139" s="87"/>
      <c r="O139" s="50"/>
      <c r="P139" s="52"/>
      <c r="Q139" s="87"/>
      <c r="R139" s="52"/>
      <c r="S139" s="50"/>
      <c r="T139" s="50"/>
      <c r="U139" s="50"/>
      <c r="V139" s="50"/>
      <c r="W139" s="50"/>
      <c r="X139" s="53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>
        <v>0</v>
      </c>
      <c r="AL139" s="58"/>
      <c r="AM139" s="58"/>
      <c r="AN139" s="58"/>
      <c r="AO139" s="58"/>
      <c r="AP139" s="275"/>
      <c r="AQ139" s="275"/>
      <c r="AR139" s="275"/>
      <c r="AS139" s="275"/>
      <c r="AT139" s="58"/>
      <c r="AU139" s="58"/>
      <c r="AV139" s="58"/>
      <c r="AW139" s="58"/>
      <c r="AX139" s="53"/>
      <c r="AY139" s="47"/>
      <c r="AZ139" s="53"/>
      <c r="BA139" s="51"/>
      <c r="BB139" s="359"/>
      <c r="BD139" s="55"/>
    </row>
    <row r="140" spans="1:56" s="36" customFormat="1" ht="15.75" x14ac:dyDescent="0.25">
      <c r="A140" s="113"/>
      <c r="B140" s="114"/>
      <c r="C140" s="52"/>
      <c r="D140" s="87"/>
      <c r="E140" s="57"/>
      <c r="F140" s="52"/>
      <c r="G140" s="52"/>
      <c r="H140" s="432"/>
      <c r="I140" s="330"/>
      <c r="J140" s="52"/>
      <c r="K140" s="87"/>
      <c r="L140" s="87"/>
      <c r="M140" s="87"/>
      <c r="N140" s="87"/>
      <c r="O140" s="50"/>
      <c r="P140" s="52"/>
      <c r="Q140" s="87"/>
      <c r="R140" s="52"/>
      <c r="S140" s="50"/>
      <c r="T140" s="50"/>
      <c r="U140" s="50"/>
      <c r="V140" s="50"/>
      <c r="W140" s="50"/>
      <c r="X140" s="53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>
        <v>0</v>
      </c>
      <c r="AL140" s="58"/>
      <c r="AM140" s="58"/>
      <c r="AN140" s="58"/>
      <c r="AO140" s="58"/>
      <c r="AP140" s="275"/>
      <c r="AQ140" s="275"/>
      <c r="AR140" s="275"/>
      <c r="AS140" s="275"/>
      <c r="AT140" s="58"/>
      <c r="AU140" s="58"/>
      <c r="AV140" s="58"/>
      <c r="AW140" s="58"/>
      <c r="AX140" s="53"/>
      <c r="AY140" s="47"/>
      <c r="AZ140" s="53"/>
      <c r="BA140" s="51"/>
      <c r="BB140" s="359"/>
      <c r="BD140" s="55"/>
    </row>
    <row r="141" spans="1:56" s="36" customFormat="1" ht="15.75" x14ac:dyDescent="0.25">
      <c r="A141" s="113"/>
      <c r="B141" s="114"/>
      <c r="C141" s="52"/>
      <c r="D141" s="87"/>
      <c r="E141" s="57"/>
      <c r="F141" s="52"/>
      <c r="G141" s="52"/>
      <c r="H141" s="432"/>
      <c r="I141" s="330"/>
      <c r="J141" s="52"/>
      <c r="K141" s="87"/>
      <c r="L141" s="87"/>
      <c r="M141" s="87"/>
      <c r="N141" s="87"/>
      <c r="O141" s="50"/>
      <c r="P141" s="52"/>
      <c r="Q141" s="87"/>
      <c r="R141" s="52"/>
      <c r="S141" s="50"/>
      <c r="T141" s="50"/>
      <c r="U141" s="50"/>
      <c r="V141" s="50"/>
      <c r="W141" s="50"/>
      <c r="X141" s="53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>
        <v>0</v>
      </c>
      <c r="AL141" s="58"/>
      <c r="AM141" s="58"/>
      <c r="AN141" s="58"/>
      <c r="AO141" s="58"/>
      <c r="AP141" s="275"/>
      <c r="AQ141" s="275"/>
      <c r="AR141" s="275"/>
      <c r="AS141" s="275"/>
      <c r="AT141" s="58"/>
      <c r="AU141" s="58"/>
      <c r="AV141" s="58"/>
      <c r="AW141" s="58"/>
      <c r="AX141" s="53"/>
      <c r="AY141" s="47"/>
      <c r="AZ141" s="53"/>
      <c r="BA141" s="51"/>
      <c r="BB141" s="359"/>
      <c r="BD141" s="55"/>
    </row>
    <row r="142" spans="1:56" s="36" customFormat="1" ht="15.75" x14ac:dyDescent="0.25">
      <c r="A142" s="113"/>
      <c r="B142" s="114"/>
      <c r="C142" s="52"/>
      <c r="D142" s="87"/>
      <c r="E142" s="57"/>
      <c r="F142" s="52"/>
      <c r="G142" s="52"/>
      <c r="H142" s="432"/>
      <c r="I142" s="330"/>
      <c r="J142" s="52"/>
      <c r="K142" s="87"/>
      <c r="L142" s="87"/>
      <c r="M142" s="87"/>
      <c r="N142" s="87"/>
      <c r="O142" s="50"/>
      <c r="P142" s="52"/>
      <c r="Q142" s="87"/>
      <c r="R142" s="52"/>
      <c r="S142" s="50"/>
      <c r="T142" s="50"/>
      <c r="U142" s="50"/>
      <c r="V142" s="50"/>
      <c r="W142" s="50"/>
      <c r="X142" s="53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>
        <v>0</v>
      </c>
      <c r="AL142" s="58"/>
      <c r="AM142" s="58"/>
      <c r="AN142" s="58"/>
      <c r="AO142" s="58"/>
      <c r="AP142" s="275"/>
      <c r="AQ142" s="275"/>
      <c r="AR142" s="275"/>
      <c r="AS142" s="275"/>
      <c r="AT142" s="58"/>
      <c r="AU142" s="58"/>
      <c r="AV142" s="58"/>
      <c r="AW142" s="58"/>
      <c r="AX142" s="53"/>
      <c r="AY142" s="47"/>
      <c r="AZ142" s="53"/>
      <c r="BA142" s="51"/>
      <c r="BB142" s="359"/>
      <c r="BD142" s="55"/>
    </row>
    <row r="143" spans="1:56" s="36" customFormat="1" ht="15.75" x14ac:dyDescent="0.25">
      <c r="A143" s="113"/>
      <c r="B143" s="114"/>
      <c r="C143" s="52"/>
      <c r="D143" s="87"/>
      <c r="E143" s="57"/>
      <c r="F143" s="52"/>
      <c r="G143" s="52"/>
      <c r="H143" s="432"/>
      <c r="I143" s="330"/>
      <c r="J143" s="52"/>
      <c r="K143" s="87"/>
      <c r="L143" s="87"/>
      <c r="M143" s="87"/>
      <c r="N143" s="87"/>
      <c r="O143" s="50"/>
      <c r="P143" s="52"/>
      <c r="Q143" s="87"/>
      <c r="R143" s="52"/>
      <c r="S143" s="50"/>
      <c r="T143" s="50"/>
      <c r="U143" s="50"/>
      <c r="V143" s="50"/>
      <c r="W143" s="50"/>
      <c r="X143" s="53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>
        <v>0</v>
      </c>
      <c r="AL143" s="58"/>
      <c r="AM143" s="58"/>
      <c r="AN143" s="58"/>
      <c r="AO143" s="58"/>
      <c r="AP143" s="275"/>
      <c r="AQ143" s="275"/>
      <c r="AR143" s="275"/>
      <c r="AS143" s="275"/>
      <c r="AT143" s="58"/>
      <c r="AU143" s="58"/>
      <c r="AV143" s="58"/>
      <c r="AW143" s="58"/>
      <c r="AX143" s="53"/>
      <c r="AY143" s="47"/>
      <c r="AZ143" s="53"/>
      <c r="BA143" s="51"/>
      <c r="BB143" s="359"/>
      <c r="BD143" s="55"/>
    </row>
    <row r="144" spans="1:56" s="36" customFormat="1" ht="15.75" x14ac:dyDescent="0.25">
      <c r="A144" s="113"/>
      <c r="B144" s="114"/>
      <c r="C144" s="52"/>
      <c r="D144" s="87"/>
      <c r="E144" s="57"/>
      <c r="F144" s="52"/>
      <c r="G144" s="52"/>
      <c r="H144" s="432"/>
      <c r="I144" s="330"/>
      <c r="J144" s="52"/>
      <c r="K144" s="87"/>
      <c r="L144" s="87"/>
      <c r="M144" s="87"/>
      <c r="N144" s="87"/>
      <c r="O144" s="50"/>
      <c r="P144" s="52"/>
      <c r="Q144" s="87"/>
      <c r="R144" s="52"/>
      <c r="S144" s="50"/>
      <c r="T144" s="50"/>
      <c r="U144" s="50"/>
      <c r="V144" s="50"/>
      <c r="W144" s="50"/>
      <c r="X144" s="53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>
        <v>0</v>
      </c>
      <c r="AL144" s="58"/>
      <c r="AM144" s="58"/>
      <c r="AN144" s="58"/>
      <c r="AO144" s="58"/>
      <c r="AP144" s="275"/>
      <c r="AQ144" s="275"/>
      <c r="AR144" s="275"/>
      <c r="AS144" s="275"/>
      <c r="AT144" s="58"/>
      <c r="AU144" s="58"/>
      <c r="AV144" s="58"/>
      <c r="AW144" s="58"/>
      <c r="AX144" s="53"/>
      <c r="AY144" s="47"/>
      <c r="AZ144" s="53"/>
      <c r="BA144" s="51"/>
      <c r="BB144" s="359"/>
      <c r="BD144" s="55"/>
    </row>
    <row r="145" spans="1:55" s="36" customFormat="1" ht="15.75" x14ac:dyDescent="0.25">
      <c r="A145" s="113"/>
      <c r="B145" s="114"/>
      <c r="C145" s="52"/>
      <c r="D145" s="87"/>
      <c r="E145" s="57"/>
      <c r="F145" s="52"/>
      <c r="G145" s="52"/>
      <c r="H145" s="432"/>
      <c r="I145" s="87"/>
      <c r="J145" s="87"/>
      <c r="K145" s="87"/>
      <c r="L145" s="87"/>
      <c r="M145" s="87"/>
      <c r="N145" s="87"/>
      <c r="O145" s="50"/>
      <c r="P145" s="52"/>
      <c r="Q145" s="52"/>
      <c r="R145" s="52"/>
      <c r="S145" s="50"/>
      <c r="T145" s="378"/>
      <c r="U145" s="50"/>
      <c r="V145" s="50"/>
      <c r="W145" s="50"/>
      <c r="X145" s="53"/>
      <c r="Y145" s="115">
        <v>0</v>
      </c>
      <c r="Z145" s="115">
        <v>0</v>
      </c>
      <c r="AA145" s="115">
        <v>0</v>
      </c>
      <c r="AB145" s="115">
        <v>0</v>
      </c>
      <c r="AC145" s="115">
        <v>0</v>
      </c>
      <c r="AD145" s="115">
        <v>0</v>
      </c>
      <c r="AE145" s="115">
        <v>0</v>
      </c>
      <c r="AF145" s="115">
        <v>0</v>
      </c>
      <c r="AG145" s="115">
        <v>0</v>
      </c>
      <c r="AH145" s="115">
        <v>0</v>
      </c>
      <c r="AI145" s="115">
        <v>0</v>
      </c>
      <c r="AJ145" s="115">
        <v>0</v>
      </c>
      <c r="AK145" s="115">
        <v>0</v>
      </c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3"/>
      <c r="AY145" s="47"/>
      <c r="AZ145" s="53">
        <f>SUM(Y145:AY145)</f>
        <v>0</v>
      </c>
      <c r="BA145" s="51"/>
      <c r="BB145" s="359">
        <f>AZ145-X145</f>
        <v>0</v>
      </c>
    </row>
    <row r="146" spans="1:55" s="36" customFormat="1" ht="15.75" x14ac:dyDescent="0.25">
      <c r="A146" s="99"/>
      <c r="B146" s="100"/>
      <c r="C146" s="91"/>
      <c r="D146" s="91"/>
      <c r="E146" s="100"/>
      <c r="F146" s="91"/>
      <c r="G146" s="91"/>
      <c r="H146" s="429"/>
      <c r="I146" s="91"/>
      <c r="J146" s="91"/>
      <c r="K146" s="91"/>
      <c r="L146" s="91"/>
      <c r="M146" s="91"/>
      <c r="N146" s="91"/>
      <c r="O146" s="92"/>
      <c r="P146" s="91"/>
      <c r="Q146" s="91"/>
      <c r="R146" s="91"/>
      <c r="S146" s="92"/>
      <c r="T146" s="92"/>
      <c r="U146" s="92"/>
      <c r="V146" s="92"/>
      <c r="W146" s="92"/>
      <c r="X146" s="59">
        <f>SUBTOTAL(9,X88:X145)</f>
        <v>55001947</v>
      </c>
      <c r="Y146" s="59">
        <f t="shared" ref="Y146:AJ146" si="49">SUBTOTAL(9,Y88:Y145)</f>
        <v>0</v>
      </c>
      <c r="Z146" s="59">
        <f t="shared" si="49"/>
        <v>0</v>
      </c>
      <c r="AA146" s="59">
        <f t="shared" si="49"/>
        <v>0</v>
      </c>
      <c r="AB146" s="59">
        <f t="shared" si="49"/>
        <v>0</v>
      </c>
      <c r="AC146" s="59">
        <f t="shared" si="49"/>
        <v>0</v>
      </c>
      <c r="AD146" s="59">
        <f t="shared" si="49"/>
        <v>0</v>
      </c>
      <c r="AE146" s="59">
        <f t="shared" si="49"/>
        <v>7716</v>
      </c>
      <c r="AF146" s="59">
        <f t="shared" si="49"/>
        <v>0</v>
      </c>
      <c r="AG146" s="59">
        <f t="shared" si="49"/>
        <v>12408</v>
      </c>
      <c r="AH146" s="59">
        <f t="shared" si="49"/>
        <v>0</v>
      </c>
      <c r="AI146" s="59">
        <f t="shared" si="49"/>
        <v>0</v>
      </c>
      <c r="AJ146" s="59">
        <f t="shared" si="49"/>
        <v>0</v>
      </c>
      <c r="AK146" s="59">
        <f>SUBTOTAL(9,AK88:AK145)</f>
        <v>366227.53</v>
      </c>
      <c r="AL146" s="59">
        <f t="shared" ref="AL146:AX146" si="50">SUBTOTAL(9,AL88:AL145)</f>
        <v>250000</v>
      </c>
      <c r="AM146" s="59">
        <f t="shared" si="50"/>
        <v>375000</v>
      </c>
      <c r="AN146" s="59">
        <f t="shared" si="50"/>
        <v>2335000</v>
      </c>
      <c r="AO146" s="59">
        <f t="shared" si="50"/>
        <v>3080000</v>
      </c>
      <c r="AP146" s="59">
        <f t="shared" si="50"/>
        <v>3945000</v>
      </c>
      <c r="AQ146" s="59">
        <f t="shared" si="50"/>
        <v>4295000</v>
      </c>
      <c r="AR146" s="59">
        <f t="shared" si="50"/>
        <v>4250000</v>
      </c>
      <c r="AS146" s="59">
        <f t="shared" si="50"/>
        <v>3885000</v>
      </c>
      <c r="AT146" s="59">
        <f t="shared" si="50"/>
        <v>4308000</v>
      </c>
      <c r="AU146" s="59">
        <f t="shared" si="50"/>
        <v>3215000</v>
      </c>
      <c r="AV146" s="59">
        <f t="shared" si="50"/>
        <v>3800000</v>
      </c>
      <c r="AW146" s="59">
        <f t="shared" si="50"/>
        <v>5933876</v>
      </c>
      <c r="AX146" s="59">
        <f t="shared" si="50"/>
        <v>17630000</v>
      </c>
      <c r="AY146" s="47"/>
      <c r="AZ146" s="59">
        <f>SUBTOTAL(9,AZ88:AZ145)</f>
        <v>57591645.399999999</v>
      </c>
      <c r="BA146" s="51"/>
      <c r="BB146" s="359">
        <f>AZ146-X146</f>
        <v>2589698.3999999985</v>
      </c>
      <c r="BC146" s="55"/>
    </row>
    <row r="147" spans="1:55" s="36" customFormat="1" ht="16.5" thickBot="1" x14ac:dyDescent="0.3">
      <c r="A147" s="34"/>
      <c r="B147" s="35"/>
      <c r="C147" s="52"/>
      <c r="D147" s="52"/>
      <c r="E147" s="35"/>
      <c r="F147" s="52"/>
      <c r="G147" s="52"/>
      <c r="H147" s="422"/>
      <c r="I147" s="52"/>
      <c r="J147" s="52"/>
      <c r="K147" s="52"/>
      <c r="L147" s="52"/>
      <c r="M147" s="52"/>
      <c r="N147" s="52"/>
      <c r="O147" s="50"/>
      <c r="P147" s="52"/>
      <c r="Q147" s="52"/>
      <c r="R147" s="141"/>
      <c r="S147" s="142"/>
      <c r="T147" s="142"/>
      <c r="U147" s="142"/>
      <c r="V147" s="142"/>
      <c r="W147" s="142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4"/>
      <c r="AZ147" s="143"/>
      <c r="BA147" s="145"/>
      <c r="BB147" s="359">
        <f>AZ147-X147</f>
        <v>0</v>
      </c>
    </row>
    <row r="148" spans="1:55" s="36" customFormat="1" ht="16.5" thickBot="1" x14ac:dyDescent="0.3">
      <c r="C148" s="37"/>
      <c r="D148" s="37"/>
      <c r="F148" s="37"/>
      <c r="G148" s="37"/>
      <c r="H148" s="37"/>
      <c r="I148" s="37"/>
      <c r="J148" s="37"/>
      <c r="K148" s="293"/>
      <c r="L148" s="293"/>
      <c r="M148" s="293"/>
      <c r="N148" s="293"/>
      <c r="O148" s="38"/>
      <c r="P148" s="37"/>
      <c r="Q148" s="37"/>
      <c r="R148" s="338"/>
      <c r="S148" s="441"/>
      <c r="T148" s="148" t="s">
        <v>445</v>
      </c>
      <c r="U148" s="148"/>
      <c r="V148" s="148"/>
      <c r="W148" s="148"/>
      <c r="X148" s="149">
        <f t="shared" ref="X148:AJ148" si="51">SUBTOTAL(9,X4:X146)</f>
        <v>130693579</v>
      </c>
      <c r="Y148" s="149">
        <f t="shared" si="51"/>
        <v>13013591</v>
      </c>
      <c r="Z148" s="149">
        <f t="shared" si="51"/>
        <v>3809122</v>
      </c>
      <c r="AA148" s="149">
        <f t="shared" si="51"/>
        <v>2368676</v>
      </c>
      <c r="AB148" s="149">
        <f t="shared" si="51"/>
        <v>3804063</v>
      </c>
      <c r="AC148" s="149">
        <f t="shared" si="51"/>
        <v>3872041</v>
      </c>
      <c r="AD148" s="149">
        <f t="shared" si="51"/>
        <v>3312584</v>
      </c>
      <c r="AE148" s="149">
        <f t="shared" si="51"/>
        <v>4755911</v>
      </c>
      <c r="AF148" s="149">
        <f t="shared" si="51"/>
        <v>3013953</v>
      </c>
      <c r="AG148" s="149">
        <f t="shared" si="51"/>
        <v>6349159</v>
      </c>
      <c r="AH148" s="149">
        <f t="shared" si="51"/>
        <v>3425694.1500000004</v>
      </c>
      <c r="AI148" s="149">
        <f t="shared" si="51"/>
        <v>2933510.9600000004</v>
      </c>
      <c r="AJ148" s="149">
        <f t="shared" si="51"/>
        <v>3237955.33</v>
      </c>
      <c r="AK148" s="149">
        <f>SUBTOTAL(9,AK4:AK146)</f>
        <v>3722923.7699999991</v>
      </c>
      <c r="AL148" s="149">
        <f t="shared" ref="AL148:AX148" si="52">SUBTOTAL(9,AL4:AL146)</f>
        <v>3341358.0400000005</v>
      </c>
      <c r="AM148" s="149">
        <f t="shared" si="52"/>
        <v>3187706.81</v>
      </c>
      <c r="AN148" s="149">
        <f t="shared" si="52"/>
        <v>5004931.01</v>
      </c>
      <c r="AO148" s="149">
        <f t="shared" si="52"/>
        <v>5809229.3300000001</v>
      </c>
      <c r="AP148" s="149">
        <f t="shared" si="52"/>
        <v>5538218.79</v>
      </c>
      <c r="AQ148" s="149">
        <f t="shared" si="52"/>
        <v>5815790.7800000003</v>
      </c>
      <c r="AR148" s="149">
        <f t="shared" si="52"/>
        <v>5450000</v>
      </c>
      <c r="AS148" s="149">
        <f t="shared" si="52"/>
        <v>5085000</v>
      </c>
      <c r="AT148" s="149">
        <f t="shared" si="52"/>
        <v>5508000</v>
      </c>
      <c r="AU148" s="149">
        <f t="shared" si="52"/>
        <v>3652705.01</v>
      </c>
      <c r="AV148" s="149">
        <f t="shared" si="52"/>
        <v>4056140</v>
      </c>
      <c r="AW148" s="149">
        <f t="shared" si="52"/>
        <v>5933876</v>
      </c>
      <c r="AX148" s="149">
        <f t="shared" si="52"/>
        <v>17630000</v>
      </c>
      <c r="AY148" s="150"/>
      <c r="AZ148" s="149">
        <f>SUBTOTAL(9,AZ4:AZ146)</f>
        <v>133535557.84999999</v>
      </c>
      <c r="BA148" s="153"/>
      <c r="BB148" s="359">
        <f>AZ148-X148</f>
        <v>2841978.849999994</v>
      </c>
      <c r="BC148" s="55"/>
    </row>
    <row r="149" spans="1:55" s="90" customFormat="1" ht="15.75" x14ac:dyDescent="0.25">
      <c r="C149" s="122"/>
      <c r="D149" s="122"/>
      <c r="F149" s="122"/>
      <c r="G149" s="122"/>
      <c r="H149" s="122"/>
      <c r="I149" s="122"/>
      <c r="J149" s="122"/>
      <c r="K149" s="295"/>
      <c r="L149" s="295"/>
      <c r="M149" s="295"/>
      <c r="N149" s="295"/>
      <c r="O149" s="296"/>
      <c r="P149" s="122"/>
      <c r="Q149" s="122"/>
      <c r="R149" s="123"/>
      <c r="S149" s="442"/>
      <c r="T149" s="124"/>
      <c r="U149" s="124"/>
      <c r="V149" s="124"/>
      <c r="W149" s="124"/>
      <c r="X149" s="124" t="s">
        <v>405</v>
      </c>
      <c r="Y149" s="125">
        <v>14657045</v>
      </c>
      <c r="Z149" s="128">
        <v>2798117.1428571427</v>
      </c>
      <c r="AA149" s="128">
        <v>3206824.6428571427</v>
      </c>
      <c r="AB149" s="128">
        <v>4008392.6428571427</v>
      </c>
      <c r="AC149" s="128">
        <v>4318997.6428571427</v>
      </c>
      <c r="AD149" s="128">
        <v>5069566.6428571418</v>
      </c>
      <c r="AE149" s="128">
        <v>5575814.6428571418</v>
      </c>
      <c r="AF149" s="128">
        <v>5314704.6428571418</v>
      </c>
      <c r="AG149" s="128">
        <v>5476840</v>
      </c>
      <c r="AH149" s="128">
        <v>5359959</v>
      </c>
      <c r="AI149" s="128">
        <v>6173564</v>
      </c>
      <c r="AJ149" s="128">
        <v>5501722</v>
      </c>
      <c r="AK149" s="128">
        <v>3866535</v>
      </c>
      <c r="AL149" s="128">
        <v>3500000</v>
      </c>
      <c r="AM149" s="128">
        <v>3500000</v>
      </c>
      <c r="AN149" s="128">
        <v>5000000</v>
      </c>
      <c r="AO149" s="128">
        <v>6000000</v>
      </c>
      <c r="AP149" s="128">
        <v>6825000</v>
      </c>
      <c r="AQ149" s="128">
        <v>7100000</v>
      </c>
      <c r="AR149" s="128">
        <v>7100000</v>
      </c>
      <c r="AS149" s="128">
        <v>7000000</v>
      </c>
      <c r="AT149" s="128">
        <v>6500000</v>
      </c>
      <c r="AU149" s="128">
        <v>6500000</v>
      </c>
      <c r="AV149" s="128">
        <v>6500000</v>
      </c>
      <c r="AW149" s="128">
        <v>6500000</v>
      </c>
      <c r="AX149" s="128">
        <v>80000000</v>
      </c>
      <c r="AY149" s="146"/>
      <c r="AZ149" s="125"/>
      <c r="BA149" s="126"/>
      <c r="BB149" s="360"/>
    </row>
    <row r="150" spans="1:55" ht="15.75" x14ac:dyDescent="0.25">
      <c r="R150" s="75"/>
      <c r="S150" s="442"/>
      <c r="X150" s="38" t="s">
        <v>406</v>
      </c>
      <c r="Y150" s="128">
        <f>Y148-Y149</f>
        <v>-1643454</v>
      </c>
      <c r="Z150" s="128">
        <f>Z148-Z149</f>
        <v>1011004.8571428573</v>
      </c>
      <c r="AA150" s="128">
        <f t="shared" ref="AA150:AX150" si="53">AA148-AA149</f>
        <v>-838148.64285714272</v>
      </c>
      <c r="AB150" s="128">
        <f t="shared" si="53"/>
        <v>-204329.64285714272</v>
      </c>
      <c r="AC150" s="128">
        <f t="shared" si="53"/>
        <v>-446956.64285714272</v>
      </c>
      <c r="AD150" s="128">
        <f t="shared" si="53"/>
        <v>-1756982.6428571418</v>
      </c>
      <c r="AE150" s="128">
        <f t="shared" si="53"/>
        <v>-819903.64285714179</v>
      </c>
      <c r="AF150" s="128">
        <f t="shared" si="53"/>
        <v>-2300751.6428571418</v>
      </c>
      <c r="AG150" s="128">
        <f t="shared" si="53"/>
        <v>872319</v>
      </c>
      <c r="AH150" s="128">
        <f t="shared" si="53"/>
        <v>-1934264.8499999996</v>
      </c>
      <c r="AI150" s="128">
        <f t="shared" si="53"/>
        <v>-3240053.0399999996</v>
      </c>
      <c r="AJ150" s="128">
        <f t="shared" si="53"/>
        <v>-2263766.67</v>
      </c>
      <c r="AK150" s="128">
        <f t="shared" si="53"/>
        <v>-143611.23000000091</v>
      </c>
      <c r="AL150" s="128">
        <f t="shared" si="53"/>
        <v>-158641.9599999995</v>
      </c>
      <c r="AM150" s="128">
        <f t="shared" si="53"/>
        <v>-312293.18999999994</v>
      </c>
      <c r="AN150" s="128">
        <f t="shared" si="53"/>
        <v>4931.0099999997765</v>
      </c>
      <c r="AO150" s="128">
        <f t="shared" si="53"/>
        <v>-190770.66999999993</v>
      </c>
      <c r="AP150" s="128">
        <f t="shared" si="53"/>
        <v>-1286781.21</v>
      </c>
      <c r="AQ150" s="128">
        <f t="shared" si="53"/>
        <v>-1284209.2199999997</v>
      </c>
      <c r="AR150" s="128">
        <f t="shared" si="53"/>
        <v>-1650000</v>
      </c>
      <c r="AS150" s="128">
        <f t="shared" si="53"/>
        <v>-1915000</v>
      </c>
      <c r="AT150" s="128">
        <f t="shared" si="53"/>
        <v>-992000</v>
      </c>
      <c r="AU150" s="128">
        <f t="shared" si="53"/>
        <v>-2847294.99</v>
      </c>
      <c r="AV150" s="128">
        <f t="shared" si="53"/>
        <v>-2443860</v>
      </c>
      <c r="AW150" s="128">
        <f t="shared" si="53"/>
        <v>-566124</v>
      </c>
      <c r="AX150" s="128">
        <f t="shared" si="53"/>
        <v>-62370000</v>
      </c>
      <c r="AY150" s="47"/>
      <c r="AZ150" s="76"/>
      <c r="BA150" s="77"/>
      <c r="BB150" s="360"/>
    </row>
    <row r="151" spans="1:55" ht="15.75" x14ac:dyDescent="0.25">
      <c r="X151" s="38"/>
      <c r="Z151" s="278"/>
      <c r="AA151" s="130"/>
      <c r="AB151" s="130"/>
      <c r="AC151" s="133"/>
      <c r="AD151" s="133"/>
      <c r="AE151" s="133"/>
      <c r="AF151" s="130"/>
      <c r="AG151" s="130"/>
      <c r="AH151" s="130"/>
      <c r="AI151" s="130"/>
      <c r="AJ151" s="130"/>
      <c r="AK151" s="278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379">
        <v>2021</v>
      </c>
      <c r="AX151" s="130">
        <v>45000000</v>
      </c>
      <c r="AY151" s="47"/>
      <c r="BB151" s="360"/>
    </row>
    <row r="152" spans="1:55" ht="15.75" x14ac:dyDescent="0.25">
      <c r="X152" s="38" t="s">
        <v>407</v>
      </c>
      <c r="Z152" s="140">
        <v>2897650</v>
      </c>
      <c r="AA152" s="136">
        <v>3085444</v>
      </c>
      <c r="AB152" s="136">
        <v>3369732</v>
      </c>
      <c r="AC152" s="133"/>
      <c r="AD152" s="133"/>
      <c r="AE152" s="133"/>
      <c r="AF152" s="130"/>
      <c r="AG152" s="130"/>
      <c r="AH152" s="130"/>
      <c r="AI152" s="130"/>
      <c r="AJ152" s="130"/>
      <c r="AK152" s="278"/>
      <c r="AL152" s="278"/>
      <c r="AM152" s="278"/>
      <c r="AN152" s="278"/>
      <c r="AO152" s="278"/>
      <c r="AP152" s="278"/>
      <c r="AQ152" s="278"/>
      <c r="AR152" s="278"/>
      <c r="AS152" s="278"/>
      <c r="AT152" s="278"/>
      <c r="AU152" s="278"/>
      <c r="AV152" s="278"/>
      <c r="AW152" s="379">
        <v>2022</v>
      </c>
      <c r="AX152" s="130">
        <v>60000000</v>
      </c>
      <c r="AY152" s="47"/>
      <c r="BB152" s="360"/>
    </row>
    <row r="153" spans="1:55" ht="15.75" x14ac:dyDescent="0.25">
      <c r="X153" s="38" t="s">
        <v>408</v>
      </c>
      <c r="Z153" s="278">
        <f>(Z149*0.9)*0.887</f>
        <v>2233736.915142857</v>
      </c>
      <c r="AA153" s="130">
        <f t="shared" ref="AA153:AL153" si="54">(AA149*0.9)*0.887</f>
        <v>2560008.1123928572</v>
      </c>
      <c r="AB153" s="130">
        <f t="shared" si="54"/>
        <v>3199899.8467928572</v>
      </c>
      <c r="AC153" s="130">
        <f t="shared" si="54"/>
        <v>3447855.8182928571</v>
      </c>
      <c r="AD153" s="130">
        <f t="shared" si="54"/>
        <v>4047035.0509928567</v>
      </c>
      <c r="AE153" s="130">
        <f t="shared" si="54"/>
        <v>4451172.8293928569</v>
      </c>
      <c r="AF153" s="130">
        <f t="shared" si="54"/>
        <v>4242728.716392857</v>
      </c>
      <c r="AG153" s="130">
        <f t="shared" si="54"/>
        <v>4372161.3720000004</v>
      </c>
      <c r="AH153" s="130">
        <f t="shared" si="54"/>
        <v>4278855.269700001</v>
      </c>
      <c r="AI153" s="130">
        <f t="shared" si="54"/>
        <v>4928356.1412000004</v>
      </c>
      <c r="AJ153" s="130">
        <f t="shared" si="54"/>
        <v>4392024.6726000002</v>
      </c>
      <c r="AK153" s="278">
        <f t="shared" si="54"/>
        <v>3086654.8905000002</v>
      </c>
      <c r="AL153" s="278">
        <f t="shared" si="54"/>
        <v>2794050</v>
      </c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379">
        <v>2023</v>
      </c>
      <c r="AX153" s="130">
        <f>60000000*1.2</f>
        <v>72000000</v>
      </c>
      <c r="AY153" s="47"/>
      <c r="BB153" s="360"/>
    </row>
    <row r="154" spans="1:55" ht="15.75" x14ac:dyDescent="0.25">
      <c r="X154" s="38" t="s">
        <v>406</v>
      </c>
      <c r="Z154" s="278">
        <f>Z152-Z153</f>
        <v>663913.084857143</v>
      </c>
      <c r="AA154" s="130">
        <f>AA152-AA153</f>
        <v>525435.88760714279</v>
      </c>
      <c r="AB154" s="130">
        <f>AB152-AB153</f>
        <v>169832.15320714284</v>
      </c>
      <c r="AC154" s="130"/>
      <c r="AD154" s="130"/>
      <c r="AE154" s="130"/>
      <c r="AF154" s="130"/>
      <c r="AG154" s="130"/>
      <c r="AH154" s="130"/>
      <c r="AI154" s="130"/>
      <c r="AJ154" s="130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379">
        <v>2024</v>
      </c>
      <c r="AX154" s="130">
        <f>AX153*1.2</f>
        <v>86400000</v>
      </c>
      <c r="AY154" s="47"/>
      <c r="BB154" s="360"/>
    </row>
    <row r="155" spans="1:55" ht="15.75" x14ac:dyDescent="0.25">
      <c r="X155" s="38"/>
      <c r="Z155" s="278"/>
      <c r="AA155" s="130"/>
      <c r="AB155" s="130"/>
      <c r="AC155" s="133"/>
      <c r="AD155" s="133"/>
      <c r="AE155" s="133"/>
      <c r="AF155" s="130"/>
      <c r="AG155" s="130"/>
      <c r="AH155" s="130"/>
      <c r="AI155" s="130"/>
      <c r="AJ155" s="130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379">
        <v>2025</v>
      </c>
      <c r="AX155" s="130">
        <f t="shared" ref="AX155:AX163" si="55">AX154*1.15</f>
        <v>99359999.999999985</v>
      </c>
      <c r="AY155" s="47"/>
      <c r="BB155" s="360"/>
    </row>
    <row r="156" spans="1:55" ht="15.75" x14ac:dyDescent="0.25">
      <c r="X156" s="38" t="s">
        <v>409</v>
      </c>
      <c r="Z156" s="140">
        <v>261214</v>
      </c>
      <c r="AA156" s="136">
        <v>325090</v>
      </c>
      <c r="AB156" s="136">
        <v>157521</v>
      </c>
      <c r="AC156" s="133"/>
      <c r="AD156" s="133"/>
      <c r="AE156" s="133"/>
      <c r="AF156" s="130"/>
      <c r="AG156" s="130"/>
      <c r="AH156" s="130"/>
      <c r="AI156" s="130"/>
      <c r="AJ156" s="130"/>
      <c r="AK156" s="278"/>
      <c r="AL156" s="278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379">
        <v>2026</v>
      </c>
      <c r="AX156" s="130">
        <f t="shared" si="55"/>
        <v>114263999.99999997</v>
      </c>
      <c r="AY156" s="47"/>
      <c r="BB156" s="360"/>
    </row>
    <row r="157" spans="1:55" ht="15.75" x14ac:dyDescent="0.25">
      <c r="X157" s="38" t="s">
        <v>410</v>
      </c>
      <c r="Z157" s="278">
        <f t="shared" ref="Z157:AK157" si="56">(Z149*0.877)*0.1</f>
        <v>245394.87342857142</v>
      </c>
      <c r="AA157" s="130">
        <f t="shared" si="56"/>
        <v>281238.52117857145</v>
      </c>
      <c r="AB157" s="130">
        <f t="shared" si="56"/>
        <v>351536.03477857145</v>
      </c>
      <c r="AC157" s="130">
        <f t="shared" si="56"/>
        <v>378776.09327857144</v>
      </c>
      <c r="AD157" s="130">
        <f t="shared" si="56"/>
        <v>444600.99457857135</v>
      </c>
      <c r="AE157" s="130">
        <f t="shared" si="56"/>
        <v>488998.9441785714</v>
      </c>
      <c r="AF157" s="130">
        <f t="shared" si="56"/>
        <v>466099.59717857133</v>
      </c>
      <c r="AG157" s="130">
        <f t="shared" si="56"/>
        <v>480318.86800000002</v>
      </c>
      <c r="AH157" s="130">
        <f t="shared" si="56"/>
        <v>470068.40429999999</v>
      </c>
      <c r="AI157" s="130">
        <f t="shared" si="56"/>
        <v>541421.56279999996</v>
      </c>
      <c r="AJ157" s="130">
        <f t="shared" si="56"/>
        <v>482501.01940000005</v>
      </c>
      <c r="AK157" s="278">
        <f t="shared" si="56"/>
        <v>339095.11950000003</v>
      </c>
      <c r="AL157" s="278">
        <f>(AL149*0.877)*0.1</f>
        <v>306950</v>
      </c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379">
        <v>2027</v>
      </c>
      <c r="AX157" s="130">
        <f t="shared" si="55"/>
        <v>131403599.99999996</v>
      </c>
      <c r="AY157" s="47"/>
      <c r="BB157" s="360"/>
    </row>
    <row r="158" spans="1:55" ht="15.75" x14ac:dyDescent="0.25">
      <c r="R158" s="75"/>
      <c r="S158" s="442"/>
      <c r="X158" s="38" t="s">
        <v>406</v>
      </c>
      <c r="Y158" s="125"/>
      <c r="Z158" s="128">
        <f>Z156-Z157</f>
        <v>15819.126571428584</v>
      </c>
      <c r="AA158" s="128">
        <f>AA156-AA157</f>
        <v>43851.478821428551</v>
      </c>
      <c r="AB158" s="128">
        <f>AB156-AB157</f>
        <v>-194015.03477857145</v>
      </c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379">
        <v>2028</v>
      </c>
      <c r="AX158" s="130">
        <f t="shared" si="55"/>
        <v>151114139.99999994</v>
      </c>
      <c r="AY158" s="47"/>
      <c r="AZ158" s="76"/>
      <c r="BA158" s="77"/>
      <c r="BB158" s="360"/>
    </row>
    <row r="159" spans="1:55" ht="15.75" x14ac:dyDescent="0.25">
      <c r="R159" s="75"/>
      <c r="S159" s="442"/>
      <c r="X159" s="38"/>
      <c r="Y159" s="125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379">
        <v>2029</v>
      </c>
      <c r="AX159" s="130">
        <f t="shared" si="55"/>
        <v>173781260.99999991</v>
      </c>
      <c r="AY159" s="47"/>
      <c r="AZ159" s="76"/>
      <c r="BA159" s="77"/>
      <c r="BB159" s="360"/>
    </row>
    <row r="160" spans="1:55" ht="15.75" x14ac:dyDescent="0.25">
      <c r="R160" s="75"/>
      <c r="S160" s="442"/>
      <c r="X160" s="38" t="s">
        <v>411</v>
      </c>
      <c r="Y160" s="125"/>
      <c r="Z160" s="139">
        <v>9.01E-2</v>
      </c>
      <c r="AA160" s="139">
        <v>0.10539999999999999</v>
      </c>
      <c r="AB160" s="139">
        <v>4.6699999999999998E-2</v>
      </c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379">
        <v>2030</v>
      </c>
      <c r="AX160" s="130">
        <f t="shared" si="55"/>
        <v>199848450.14999989</v>
      </c>
      <c r="AY160" s="47"/>
      <c r="AZ160" s="76"/>
      <c r="BA160" s="77"/>
      <c r="BB160" s="360"/>
    </row>
    <row r="161" spans="1:54" ht="15.75" x14ac:dyDescent="0.25">
      <c r="R161" s="75"/>
      <c r="S161" s="442"/>
      <c r="X161" s="38" t="s">
        <v>412</v>
      </c>
      <c r="Y161" s="125"/>
      <c r="Z161" s="137">
        <v>0.1</v>
      </c>
      <c r="AA161" s="137">
        <v>0.1</v>
      </c>
      <c r="AB161" s="137">
        <v>0.1</v>
      </c>
      <c r="AC161" s="137">
        <v>0.1</v>
      </c>
      <c r="AD161" s="137">
        <v>0.1</v>
      </c>
      <c r="AE161" s="137">
        <v>0.1</v>
      </c>
      <c r="AF161" s="137">
        <v>0.1</v>
      </c>
      <c r="AG161" s="137">
        <v>0.1</v>
      </c>
      <c r="AH161" s="137">
        <v>0.1</v>
      </c>
      <c r="AI161" s="137">
        <v>0.1</v>
      </c>
      <c r="AJ161" s="137">
        <v>0.1</v>
      </c>
      <c r="AK161" s="137">
        <v>0.1</v>
      </c>
      <c r="AL161" s="137">
        <v>0.1</v>
      </c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379">
        <v>2031</v>
      </c>
      <c r="AX161" s="130">
        <f t="shared" si="55"/>
        <v>229825717.67249987</v>
      </c>
      <c r="AY161" s="47"/>
      <c r="AZ161" s="76"/>
      <c r="BA161" s="77"/>
      <c r="BB161" s="360"/>
    </row>
    <row r="162" spans="1:54" ht="15.75" x14ac:dyDescent="0.25">
      <c r="R162" s="75"/>
      <c r="S162" s="442"/>
      <c r="X162" s="38" t="s">
        <v>406</v>
      </c>
      <c r="Y162" s="125"/>
      <c r="Z162" s="138">
        <f>Z160-Z161</f>
        <v>-9.900000000000006E-3</v>
      </c>
      <c r="AA162" s="138">
        <f>AA160-AA161</f>
        <v>5.3999999999999881E-3</v>
      </c>
      <c r="AB162" s="138">
        <f>AB160-AB161</f>
        <v>-5.3300000000000007E-2</v>
      </c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379">
        <v>2032</v>
      </c>
      <c r="AX162" s="130">
        <f t="shared" si="55"/>
        <v>264299575.32337484</v>
      </c>
      <c r="AY162" s="47"/>
      <c r="AZ162" s="76"/>
      <c r="BA162" s="77"/>
      <c r="BB162" s="360"/>
    </row>
    <row r="163" spans="1:54" ht="15.75" x14ac:dyDescent="0.25">
      <c r="X163" s="38"/>
      <c r="Z163" s="278"/>
      <c r="AA163" s="130"/>
      <c r="AB163" s="130"/>
      <c r="AC163" s="133"/>
      <c r="AD163" s="133"/>
      <c r="AE163" s="133"/>
      <c r="AF163" s="130"/>
      <c r="AG163" s="130"/>
      <c r="AH163" s="130"/>
      <c r="AI163" s="130"/>
      <c r="AJ163" s="130"/>
      <c r="AK163" s="278"/>
      <c r="AL163" s="278"/>
      <c r="AM163" s="278"/>
      <c r="AN163" s="278"/>
      <c r="AO163" s="278"/>
      <c r="AP163" s="278"/>
      <c r="AQ163" s="278"/>
      <c r="AR163" s="278"/>
      <c r="AS163" s="278"/>
      <c r="AT163" s="278"/>
      <c r="AU163" s="278"/>
      <c r="AV163" s="278"/>
      <c r="AW163" s="379">
        <v>2033</v>
      </c>
      <c r="AX163" s="130">
        <f t="shared" si="55"/>
        <v>303944511.62188107</v>
      </c>
      <c r="AY163" s="47"/>
      <c r="BB163" s="360"/>
    </row>
    <row r="164" spans="1:54" ht="15.75" x14ac:dyDescent="0.25">
      <c r="X164" s="38" t="s">
        <v>413</v>
      </c>
      <c r="Z164" s="140">
        <v>256248</v>
      </c>
      <c r="AA164" s="201">
        <v>250107</v>
      </c>
      <c r="AB164" s="202">
        <v>305940</v>
      </c>
      <c r="AC164" s="131"/>
      <c r="AD164" s="133"/>
      <c r="AE164" s="133"/>
      <c r="AF164" s="130"/>
      <c r="AG164" s="130"/>
      <c r="AH164" s="130"/>
      <c r="AI164" s="130"/>
      <c r="AJ164" s="130"/>
      <c r="AK164" s="278"/>
      <c r="AL164" s="278"/>
      <c r="AM164" s="278"/>
      <c r="AN164" s="278"/>
      <c r="AO164" s="278"/>
      <c r="AP164" s="278"/>
      <c r="AQ164" s="278"/>
      <c r="AR164" s="278"/>
      <c r="AS164" s="278"/>
      <c r="AT164" s="278"/>
      <c r="AU164" s="278"/>
      <c r="AV164" s="278"/>
      <c r="AW164" s="278"/>
      <c r="AX164" s="130"/>
      <c r="AY164" s="47"/>
      <c r="BB164" s="360"/>
    </row>
    <row r="165" spans="1:54" ht="15.75" x14ac:dyDescent="0.25">
      <c r="X165" s="38" t="s">
        <v>414</v>
      </c>
      <c r="Z165" s="131">
        <v>275000</v>
      </c>
      <c r="AA165" s="131">
        <v>275000</v>
      </c>
      <c r="AB165" s="131">
        <v>275000</v>
      </c>
      <c r="AC165" s="131">
        <v>293000</v>
      </c>
      <c r="AD165" s="131">
        <v>293000</v>
      </c>
      <c r="AE165" s="131">
        <v>293000</v>
      </c>
      <c r="AF165" s="131">
        <v>300000</v>
      </c>
      <c r="AG165" s="131">
        <v>300000</v>
      </c>
      <c r="AH165" s="131">
        <v>300000</v>
      </c>
      <c r="AI165" s="131">
        <v>300000</v>
      </c>
      <c r="AJ165" s="131">
        <v>300000</v>
      </c>
      <c r="AK165" s="131">
        <v>300000</v>
      </c>
      <c r="AL165" s="131">
        <v>300000</v>
      </c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0"/>
      <c r="AY165" s="47"/>
      <c r="BB165" s="360"/>
    </row>
    <row r="166" spans="1:54" ht="15.75" x14ac:dyDescent="0.25">
      <c r="R166" s="75"/>
      <c r="S166" s="442"/>
      <c r="X166" s="38" t="s">
        <v>406</v>
      </c>
      <c r="Y166" s="125"/>
      <c r="Z166" s="128">
        <f>Z165-Z164</f>
        <v>18752</v>
      </c>
      <c r="AA166" s="128">
        <f>AA165-AA164</f>
        <v>24893</v>
      </c>
      <c r="AB166" s="128">
        <f>AB165-AB164</f>
        <v>-30940</v>
      </c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47"/>
      <c r="AZ166" s="76"/>
      <c r="BA166" s="77"/>
    </row>
    <row r="167" spans="1:54" ht="15.75" x14ac:dyDescent="0.25">
      <c r="X167" s="38"/>
      <c r="Z167" s="131"/>
      <c r="AA167" s="134"/>
      <c r="AB167" s="135"/>
      <c r="AC167" s="131"/>
      <c r="AD167" s="133"/>
      <c r="AE167" s="133"/>
      <c r="AF167" s="130"/>
      <c r="AG167" s="130"/>
      <c r="AH167" s="130"/>
      <c r="AI167" s="130"/>
      <c r="AJ167" s="130"/>
      <c r="AK167" s="278"/>
      <c r="AL167" s="278"/>
      <c r="AM167" s="278"/>
      <c r="AN167" s="278"/>
      <c r="AO167" s="278"/>
      <c r="AP167" s="278"/>
      <c r="AQ167" s="278"/>
      <c r="AR167" s="278"/>
      <c r="AS167" s="278"/>
      <c r="AT167" s="278"/>
      <c r="AU167" s="278"/>
      <c r="AV167" s="278"/>
      <c r="AW167" s="278"/>
      <c r="AX167" s="130"/>
      <c r="AY167" s="47"/>
    </row>
    <row r="168" spans="1:54" s="78" customFormat="1" ht="15.75" x14ac:dyDescent="0.25">
      <c r="A168"/>
      <c r="B168"/>
      <c r="C168" s="74"/>
      <c r="D168" s="74"/>
      <c r="E168"/>
      <c r="F168" s="74"/>
      <c r="G168" s="74"/>
      <c r="H168" s="74"/>
      <c r="I168" s="74"/>
      <c r="J168" s="74"/>
      <c r="K168" s="295"/>
      <c r="L168" s="295"/>
      <c r="M168" s="295"/>
      <c r="N168" s="295"/>
      <c r="O168" s="296"/>
      <c r="P168" s="74"/>
      <c r="Q168" s="74"/>
      <c r="R168" s="74"/>
      <c r="S168" s="296"/>
      <c r="T168" s="38"/>
      <c r="U168" s="38"/>
      <c r="V168" s="38"/>
      <c r="W168" s="38"/>
      <c r="X168" s="38"/>
      <c r="Y168" s="278"/>
      <c r="Z168" s="131"/>
      <c r="AA168" s="134"/>
      <c r="AB168" s="135"/>
      <c r="AC168" s="131"/>
      <c r="AD168" s="133"/>
      <c r="AE168" s="133"/>
      <c r="AF168" s="130"/>
      <c r="AG168" s="130"/>
      <c r="AH168" s="130"/>
      <c r="AI168" s="130"/>
      <c r="AJ168" s="130"/>
      <c r="AK168" s="278"/>
      <c r="AL168" s="278"/>
      <c r="AM168" s="278"/>
      <c r="AN168" s="278"/>
      <c r="AO168" s="278"/>
      <c r="AP168" s="278"/>
      <c r="AQ168" s="278"/>
      <c r="AR168" s="278"/>
      <c r="AS168" s="278"/>
      <c r="AT168" s="278"/>
      <c r="AU168" s="278"/>
      <c r="AV168" s="278"/>
      <c r="AW168" s="278"/>
      <c r="AX168" s="130"/>
      <c r="AY168" s="47"/>
      <c r="BA168" s="79"/>
      <c r="BB168" s="361"/>
    </row>
    <row r="169" spans="1:54" s="78" customFormat="1" ht="15.75" x14ac:dyDescent="0.25">
      <c r="A169"/>
      <c r="B169"/>
      <c r="C169" s="74"/>
      <c r="D169" s="74"/>
      <c r="E169"/>
      <c r="F169" s="74"/>
      <c r="G169" s="74"/>
      <c r="H169" s="74"/>
      <c r="I169" s="74"/>
      <c r="J169" s="74"/>
      <c r="K169" s="295"/>
      <c r="L169" s="295"/>
      <c r="M169" s="295"/>
      <c r="N169" s="295"/>
      <c r="O169" s="296"/>
      <c r="P169" s="74"/>
      <c r="Q169" s="74"/>
      <c r="R169" s="74"/>
      <c r="S169" s="296"/>
      <c r="T169" s="38"/>
      <c r="U169" s="38"/>
      <c r="V169" s="38"/>
      <c r="W169" s="38"/>
      <c r="X169" s="38" t="s">
        <v>415</v>
      </c>
      <c r="Y169" s="278"/>
      <c r="Z169" s="140">
        <v>4126</v>
      </c>
      <c r="AA169" s="201">
        <v>74711</v>
      </c>
      <c r="AB169" s="202">
        <v>-101036</v>
      </c>
      <c r="AC169" s="131"/>
      <c r="AD169" s="133"/>
      <c r="AE169" s="133"/>
      <c r="AF169" s="130"/>
      <c r="AG169" s="130"/>
      <c r="AH169" s="130"/>
      <c r="AI169" s="130"/>
      <c r="AJ169" s="130"/>
      <c r="AK169" s="278"/>
      <c r="AL169" s="278"/>
      <c r="AM169" s="278"/>
      <c r="AN169" s="278"/>
      <c r="AO169" s="278"/>
      <c r="AP169" s="278"/>
      <c r="AQ169" s="278"/>
      <c r="AR169" s="278"/>
      <c r="AS169" s="278"/>
      <c r="AT169" s="278"/>
      <c r="AU169" s="278"/>
      <c r="AV169" s="278"/>
      <c r="AW169" s="278"/>
      <c r="AX169" s="130"/>
      <c r="AY169" s="47"/>
      <c r="BA169" s="79"/>
      <c r="BB169" s="361"/>
    </row>
    <row r="170" spans="1:54" s="78" customFormat="1" ht="15.75" x14ac:dyDescent="0.25">
      <c r="A170"/>
      <c r="B170"/>
      <c r="C170" s="74"/>
      <c r="D170" s="74"/>
      <c r="E170"/>
      <c r="F170" s="74"/>
      <c r="G170" s="74"/>
      <c r="H170" s="74"/>
      <c r="I170" s="74"/>
      <c r="J170" s="74"/>
      <c r="K170" s="295"/>
      <c r="L170" s="295"/>
      <c r="M170" s="295"/>
      <c r="N170" s="295"/>
      <c r="O170" s="296"/>
      <c r="P170" s="74"/>
      <c r="Q170" s="74"/>
      <c r="R170" s="74"/>
      <c r="S170" s="296"/>
      <c r="T170" s="38"/>
      <c r="U170" s="38"/>
      <c r="V170" s="38"/>
      <c r="W170" s="38"/>
      <c r="X170" s="38" t="s">
        <v>416</v>
      </c>
      <c r="Y170" s="278"/>
      <c r="Z170" s="131">
        <f>Z157*0.1</f>
        <v>24539.487342857145</v>
      </c>
      <c r="AA170" s="131">
        <f>AA157*0.1</f>
        <v>28123.852117857146</v>
      </c>
      <c r="AB170" s="131">
        <f>AB157*0.1</f>
        <v>35153.603477857148</v>
      </c>
      <c r="AC170" s="131">
        <f>AC157*0.1</f>
        <v>37877.609327857142</v>
      </c>
      <c r="AD170" s="131">
        <f t="shared" ref="AD170:AJ170" si="57">AD157*0.1</f>
        <v>44460.099457857141</v>
      </c>
      <c r="AE170" s="131">
        <f>AE157*0.1</f>
        <v>48899.89441785714</v>
      </c>
      <c r="AF170" s="131">
        <f t="shared" si="57"/>
        <v>46609.959717857135</v>
      </c>
      <c r="AG170" s="131">
        <f t="shared" si="57"/>
        <v>48031.886800000007</v>
      </c>
      <c r="AH170" s="131">
        <f t="shared" si="57"/>
        <v>47006.840430000004</v>
      </c>
      <c r="AI170" s="131">
        <f t="shared" si="57"/>
        <v>54142.156279999996</v>
      </c>
      <c r="AJ170" s="131">
        <f t="shared" si="57"/>
        <v>48250.101940000008</v>
      </c>
      <c r="AK170" s="131">
        <f>AK157*0.1+2995</f>
        <v>36904.511950000007</v>
      </c>
      <c r="AL170" s="278">
        <f>SUM(Z170:AK170)</f>
        <v>500000.00326000003</v>
      </c>
      <c r="AM170" s="278"/>
      <c r="AN170" s="278"/>
      <c r="AO170" s="278"/>
      <c r="AP170" s="278"/>
      <c r="AQ170" s="278"/>
      <c r="AR170" s="278"/>
      <c r="AS170" s="278"/>
      <c r="AT170" s="278"/>
      <c r="AU170" s="278"/>
      <c r="AV170" s="278"/>
      <c r="AW170" s="278"/>
      <c r="AX170" s="130"/>
      <c r="AY170" s="47"/>
      <c r="BA170" s="79"/>
      <c r="BB170" s="361"/>
    </row>
    <row r="171" spans="1:54" ht="15.75" x14ac:dyDescent="0.25">
      <c r="R171" s="75"/>
      <c r="S171" s="442"/>
      <c r="X171" s="38" t="s">
        <v>406</v>
      </c>
      <c r="Y171" s="125"/>
      <c r="Z171" s="128">
        <f>Z169-Z170</f>
        <v>-20413.487342857145</v>
      </c>
      <c r="AA171" s="128">
        <f>AA169-AA170</f>
        <v>46587.147882142854</v>
      </c>
      <c r="AB171" s="128">
        <f>AB169-AB170</f>
        <v>-136189.60347785713</v>
      </c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47"/>
      <c r="AZ171" s="76"/>
      <c r="BA171" s="77"/>
    </row>
    <row r="172" spans="1:54" ht="15.75" x14ac:dyDescent="0.25">
      <c r="R172" s="75"/>
      <c r="S172" s="442"/>
      <c r="X172" s="38"/>
      <c r="Y172" s="125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47"/>
      <c r="AZ172" s="76"/>
      <c r="BA172" s="77"/>
    </row>
    <row r="173" spans="1:54" s="36" customFormat="1" ht="15.75" x14ac:dyDescent="0.25">
      <c r="A173" s="106" t="s">
        <v>582</v>
      </c>
      <c r="B173" s="107"/>
      <c r="C173" s="101"/>
      <c r="D173" s="102"/>
      <c r="E173" s="107"/>
      <c r="F173" s="102"/>
      <c r="G173" s="102"/>
      <c r="H173" s="101"/>
      <c r="I173" s="102"/>
      <c r="J173" s="102"/>
      <c r="K173" s="276"/>
      <c r="L173" s="276"/>
      <c r="M173" s="276"/>
      <c r="N173" s="276"/>
      <c r="O173" s="84"/>
      <c r="P173" s="102"/>
      <c r="Q173" s="102"/>
      <c r="R173" s="102"/>
      <c r="S173" s="84"/>
      <c r="T173" s="84"/>
      <c r="U173" s="84"/>
      <c r="V173" s="84"/>
      <c r="W173" s="84"/>
      <c r="X173" s="193"/>
      <c r="Y173" s="85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47"/>
      <c r="AZ173" s="85"/>
      <c r="BA173" s="51"/>
      <c r="BB173" s="359">
        <f t="shared" ref="BB173:BB204" si="58">AZ173-X173</f>
        <v>0</v>
      </c>
    </row>
    <row r="174" spans="1:54" s="36" customFormat="1" ht="15.75" x14ac:dyDescent="0.25">
      <c r="A174" s="34" t="s">
        <v>430</v>
      </c>
      <c r="B174" s="34" t="s">
        <v>431</v>
      </c>
      <c r="C174" s="52" t="s">
        <v>581</v>
      </c>
      <c r="D174" s="52" t="s">
        <v>581</v>
      </c>
      <c r="E174" s="52" t="s">
        <v>581</v>
      </c>
      <c r="F174" s="52" t="s">
        <v>581</v>
      </c>
      <c r="G174" s="52"/>
      <c r="H174" s="52"/>
      <c r="I174" s="341"/>
      <c r="J174" s="341"/>
      <c r="K174" s="52" t="s">
        <v>581</v>
      </c>
      <c r="L174" s="52"/>
      <c r="M174" s="52" t="s">
        <v>581</v>
      </c>
      <c r="N174" s="52"/>
      <c r="O174" s="52" t="s">
        <v>581</v>
      </c>
      <c r="P174" s="52" t="s">
        <v>320</v>
      </c>
      <c r="Q174" s="52" t="s">
        <v>581</v>
      </c>
      <c r="R174" s="52" t="s">
        <v>581</v>
      </c>
      <c r="S174" s="342"/>
      <c r="T174" s="52" t="s">
        <v>581</v>
      </c>
      <c r="U174" s="52" t="s">
        <v>581</v>
      </c>
      <c r="V174" s="52" t="s">
        <v>581</v>
      </c>
      <c r="W174" s="52"/>
      <c r="X174" s="182">
        <v>137906</v>
      </c>
      <c r="Y174" s="115">
        <v>61092</v>
      </c>
      <c r="Z174" s="115">
        <v>0</v>
      </c>
      <c r="AA174" s="115">
        <v>0</v>
      </c>
      <c r="AB174" s="115">
        <v>0</v>
      </c>
      <c r="AC174" s="115">
        <v>73311</v>
      </c>
      <c r="AD174" s="115">
        <v>0</v>
      </c>
      <c r="AE174" s="115">
        <v>0</v>
      </c>
      <c r="AF174" s="115">
        <v>3503</v>
      </c>
      <c r="AG174" s="115">
        <v>0</v>
      </c>
      <c r="AH174" s="115">
        <v>0</v>
      </c>
      <c r="AI174" s="115">
        <v>0</v>
      </c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3"/>
      <c r="AY174" s="47"/>
      <c r="AZ174" s="53">
        <f>SUM(Y174:AY174)</f>
        <v>137906</v>
      </c>
      <c r="BA174" s="51"/>
      <c r="BB174" s="359">
        <f t="shared" si="58"/>
        <v>0</v>
      </c>
    </row>
    <row r="175" spans="1:54" s="36" customFormat="1" ht="15.75" x14ac:dyDescent="0.25">
      <c r="A175" s="60" t="s">
        <v>432</v>
      </c>
      <c r="B175" s="61" t="s">
        <v>433</v>
      </c>
      <c r="C175" s="52" t="s">
        <v>581</v>
      </c>
      <c r="D175" s="52" t="s">
        <v>581</v>
      </c>
      <c r="E175" s="52" t="s">
        <v>581</v>
      </c>
      <c r="F175" s="52" t="s">
        <v>581</v>
      </c>
      <c r="G175" s="52"/>
      <c r="H175" s="52"/>
      <c r="I175" s="341"/>
      <c r="J175" s="341"/>
      <c r="K175" s="52" t="s">
        <v>581</v>
      </c>
      <c r="L175" s="52"/>
      <c r="M175" s="52" t="s">
        <v>581</v>
      </c>
      <c r="N175" s="52"/>
      <c r="O175" s="52" t="s">
        <v>581</v>
      </c>
      <c r="P175" s="52" t="s">
        <v>320</v>
      </c>
      <c r="Q175" s="52" t="s">
        <v>581</v>
      </c>
      <c r="R175" s="52" t="s">
        <v>581</v>
      </c>
      <c r="S175" s="342"/>
      <c r="T175" s="52" t="s">
        <v>581</v>
      </c>
      <c r="U175" s="52" t="s">
        <v>581</v>
      </c>
      <c r="V175" s="52" t="s">
        <v>581</v>
      </c>
      <c r="W175" s="52"/>
      <c r="X175" s="182">
        <v>136537</v>
      </c>
      <c r="Y175" s="115">
        <v>61092</v>
      </c>
      <c r="Z175" s="115">
        <v>0</v>
      </c>
      <c r="AA175" s="115">
        <v>0</v>
      </c>
      <c r="AB175" s="115">
        <v>0</v>
      </c>
      <c r="AC175" s="115">
        <v>73311</v>
      </c>
      <c r="AD175" s="115">
        <v>0</v>
      </c>
      <c r="AE175" s="115">
        <v>0</v>
      </c>
      <c r="AF175" s="115">
        <v>2134</v>
      </c>
      <c r="AG175" s="115">
        <v>0</v>
      </c>
      <c r="AH175" s="115">
        <v>0</v>
      </c>
      <c r="AI175" s="115">
        <v>0</v>
      </c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3"/>
      <c r="AY175" s="47"/>
      <c r="AZ175" s="53">
        <f t="shared" ref="AZ175:AZ204" si="59">SUM(Y175:AY175)</f>
        <v>136537</v>
      </c>
      <c r="BA175" s="51"/>
      <c r="BB175" s="359">
        <f t="shared" si="58"/>
        <v>0</v>
      </c>
    </row>
    <row r="176" spans="1:54" s="36" customFormat="1" ht="15.75" x14ac:dyDescent="0.25">
      <c r="A176" s="111" t="s">
        <v>558</v>
      </c>
      <c r="B176" s="112" t="s">
        <v>641</v>
      </c>
      <c r="C176" s="52" t="s">
        <v>319</v>
      </c>
      <c r="D176" s="52" t="s">
        <v>319</v>
      </c>
      <c r="E176" s="310" t="s">
        <v>319</v>
      </c>
      <c r="F176" s="310" t="s">
        <v>319</v>
      </c>
      <c r="G176" s="310"/>
      <c r="H176" s="52"/>
      <c r="I176" s="341"/>
      <c r="J176" s="341"/>
      <c r="K176" s="310" t="s">
        <v>319</v>
      </c>
      <c r="L176" s="310"/>
      <c r="M176" s="310" t="s">
        <v>319</v>
      </c>
      <c r="N176" s="310"/>
      <c r="O176" s="310" t="s">
        <v>319</v>
      </c>
      <c r="P176" s="52" t="s">
        <v>320</v>
      </c>
      <c r="Q176" s="310" t="s">
        <v>319</v>
      </c>
      <c r="R176" s="310" t="s">
        <v>319</v>
      </c>
      <c r="S176" s="342"/>
      <c r="T176" s="310" t="s">
        <v>319</v>
      </c>
      <c r="U176" s="310" t="s">
        <v>319</v>
      </c>
      <c r="V176" s="310" t="s">
        <v>319</v>
      </c>
      <c r="W176" s="310"/>
      <c r="X176" s="306"/>
      <c r="Y176" s="115">
        <v>0</v>
      </c>
      <c r="Z176" s="115">
        <v>0</v>
      </c>
      <c r="AA176" s="115">
        <v>0</v>
      </c>
      <c r="AB176" s="115">
        <v>0</v>
      </c>
      <c r="AC176" s="115">
        <v>0</v>
      </c>
      <c r="AD176" s="115">
        <v>0</v>
      </c>
      <c r="AE176" s="115">
        <v>0</v>
      </c>
      <c r="AF176" s="115">
        <v>0</v>
      </c>
      <c r="AG176" s="115">
        <v>0</v>
      </c>
      <c r="AH176" s="115">
        <v>0</v>
      </c>
      <c r="AI176" s="115">
        <v>0</v>
      </c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3"/>
      <c r="AY176" s="47"/>
      <c r="AZ176" s="53">
        <f t="shared" si="59"/>
        <v>0</v>
      </c>
      <c r="BA176" s="51"/>
      <c r="BB176" s="359">
        <f t="shared" si="58"/>
        <v>0</v>
      </c>
    </row>
    <row r="177" spans="1:56" s="36" customFormat="1" ht="15.75" x14ac:dyDescent="0.25">
      <c r="A177" s="60" t="s">
        <v>161</v>
      </c>
      <c r="B177" s="61" t="s">
        <v>163</v>
      </c>
      <c r="C177" s="52" t="s">
        <v>165</v>
      </c>
      <c r="D177" s="52" t="s">
        <v>165</v>
      </c>
      <c r="E177" s="52" t="s">
        <v>165</v>
      </c>
      <c r="F177" s="52" t="s">
        <v>165</v>
      </c>
      <c r="G177" s="52"/>
      <c r="H177" s="52"/>
      <c r="I177" s="341"/>
      <c r="J177" s="341"/>
      <c r="K177" s="52" t="s">
        <v>165</v>
      </c>
      <c r="L177" s="52"/>
      <c r="M177" s="52" t="s">
        <v>165</v>
      </c>
      <c r="N177" s="52"/>
      <c r="O177" s="52" t="s">
        <v>165</v>
      </c>
      <c r="P177" s="52" t="s">
        <v>320</v>
      </c>
      <c r="Q177" s="52" t="s">
        <v>165</v>
      </c>
      <c r="R177" s="52" t="s">
        <v>165</v>
      </c>
      <c r="S177" s="342"/>
      <c r="T177" s="52" t="s">
        <v>165</v>
      </c>
      <c r="U177" s="52" t="s">
        <v>165</v>
      </c>
      <c r="V177" s="52" t="s">
        <v>165</v>
      </c>
      <c r="W177" s="52"/>
      <c r="X177" s="86"/>
      <c r="Y177" s="115">
        <v>0</v>
      </c>
      <c r="Z177" s="115">
        <v>0</v>
      </c>
      <c r="AA177" s="115">
        <v>0</v>
      </c>
      <c r="AB177" s="115">
        <v>0</v>
      </c>
      <c r="AC177" s="115">
        <v>0</v>
      </c>
      <c r="AD177" s="115">
        <v>0</v>
      </c>
      <c r="AE177" s="115">
        <v>0</v>
      </c>
      <c r="AF177" s="115">
        <v>0</v>
      </c>
      <c r="AG177" s="115">
        <v>0</v>
      </c>
      <c r="AH177" s="115">
        <v>0</v>
      </c>
      <c r="AI177" s="115">
        <v>0</v>
      </c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3"/>
      <c r="AY177" s="47"/>
      <c r="AZ177" s="53">
        <f t="shared" si="59"/>
        <v>0</v>
      </c>
      <c r="BA177" s="51"/>
      <c r="BB177" s="359">
        <f t="shared" si="58"/>
        <v>0</v>
      </c>
    </row>
    <row r="178" spans="1:56" s="36" customFormat="1" ht="15.75" x14ac:dyDescent="0.25">
      <c r="A178" s="111" t="s">
        <v>82</v>
      </c>
      <c r="B178" s="112" t="s">
        <v>532</v>
      </c>
      <c r="C178" s="52" t="s">
        <v>319</v>
      </c>
      <c r="D178" s="52" t="s">
        <v>319</v>
      </c>
      <c r="E178" s="340" t="s">
        <v>451</v>
      </c>
      <c r="F178" s="52" t="s">
        <v>165</v>
      </c>
      <c r="G178" s="52"/>
      <c r="H178" s="423"/>
      <c r="I178" s="341"/>
      <c r="J178" s="341"/>
      <c r="K178" s="52" t="s">
        <v>165</v>
      </c>
      <c r="L178" s="52"/>
      <c r="M178" s="52" t="s">
        <v>165</v>
      </c>
      <c r="N178" s="52"/>
      <c r="O178" s="52" t="s">
        <v>165</v>
      </c>
      <c r="P178" s="87" t="s">
        <v>370</v>
      </c>
      <c r="Q178" s="52" t="s">
        <v>165</v>
      </c>
      <c r="R178" s="52" t="s">
        <v>165</v>
      </c>
      <c r="S178" s="342"/>
      <c r="T178" s="52" t="s">
        <v>165</v>
      </c>
      <c r="U178" s="52" t="s">
        <v>165</v>
      </c>
      <c r="V178" s="52" t="s">
        <v>165</v>
      </c>
      <c r="W178" s="52"/>
      <c r="X178" s="86">
        <v>33274</v>
      </c>
      <c r="Y178" s="115">
        <v>0</v>
      </c>
      <c r="Z178" s="115">
        <v>0</v>
      </c>
      <c r="AA178" s="115">
        <v>0</v>
      </c>
      <c r="AB178" s="115">
        <v>0</v>
      </c>
      <c r="AC178" s="115">
        <v>0</v>
      </c>
      <c r="AD178" s="115">
        <v>33274</v>
      </c>
      <c r="AE178" s="115">
        <v>0</v>
      </c>
      <c r="AF178" s="115">
        <v>0</v>
      </c>
      <c r="AG178" s="115">
        <v>0</v>
      </c>
      <c r="AH178" s="115">
        <v>0</v>
      </c>
      <c r="AI178" s="115">
        <v>0</v>
      </c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3"/>
      <c r="AY178" s="47"/>
      <c r="AZ178" s="53">
        <f t="shared" si="59"/>
        <v>33274</v>
      </c>
      <c r="BA178" s="51"/>
      <c r="BB178" s="359">
        <f t="shared" si="58"/>
        <v>0</v>
      </c>
    </row>
    <row r="179" spans="1:56" s="36" customFormat="1" ht="15.75" x14ac:dyDescent="0.25">
      <c r="A179" s="113" t="s">
        <v>716</v>
      </c>
      <c r="B179" s="114" t="s">
        <v>699</v>
      </c>
      <c r="C179" s="52" t="s">
        <v>319</v>
      </c>
      <c r="D179" s="52" t="s">
        <v>319</v>
      </c>
      <c r="E179" s="362" t="s">
        <v>700</v>
      </c>
      <c r="F179" s="52" t="s">
        <v>165</v>
      </c>
      <c r="G179" s="52"/>
      <c r="H179" s="423"/>
      <c r="I179" s="341"/>
      <c r="J179" s="341"/>
      <c r="K179" s="52" t="s">
        <v>165</v>
      </c>
      <c r="L179" s="52"/>
      <c r="M179" s="52" t="s">
        <v>165</v>
      </c>
      <c r="N179" s="52"/>
      <c r="O179" s="52" t="s">
        <v>165</v>
      </c>
      <c r="P179" s="52" t="s">
        <v>320</v>
      </c>
      <c r="Q179" s="52" t="s">
        <v>165</v>
      </c>
      <c r="R179" s="52" t="s">
        <v>165</v>
      </c>
      <c r="S179" s="342"/>
      <c r="T179" s="52" t="s">
        <v>165</v>
      </c>
      <c r="U179" s="52" t="s">
        <v>165</v>
      </c>
      <c r="V179" s="52" t="s">
        <v>165</v>
      </c>
      <c r="W179" s="52"/>
      <c r="X179" s="53"/>
      <c r="Y179" s="115">
        <v>0</v>
      </c>
      <c r="Z179" s="115">
        <v>0</v>
      </c>
      <c r="AA179" s="115">
        <v>0</v>
      </c>
      <c r="AB179" s="115">
        <v>0</v>
      </c>
      <c r="AC179" s="115">
        <v>0</v>
      </c>
      <c r="AD179" s="115">
        <v>0</v>
      </c>
      <c r="AE179" s="115">
        <v>0</v>
      </c>
      <c r="AF179" s="115">
        <v>0</v>
      </c>
      <c r="AG179" s="115">
        <v>0</v>
      </c>
      <c r="AH179" s="115">
        <v>0</v>
      </c>
      <c r="AI179" s="115">
        <v>0</v>
      </c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3"/>
      <c r="AY179" s="47"/>
      <c r="AZ179" s="53">
        <f t="shared" si="59"/>
        <v>0</v>
      </c>
      <c r="BA179" s="51"/>
      <c r="BB179" s="359">
        <f t="shared" si="58"/>
        <v>0</v>
      </c>
    </row>
    <row r="180" spans="1:56" s="36" customFormat="1" ht="15.75" x14ac:dyDescent="0.25">
      <c r="A180" s="244" t="s">
        <v>298</v>
      </c>
      <c r="B180" s="272" t="s">
        <v>299</v>
      </c>
      <c r="C180" s="52" t="s">
        <v>319</v>
      </c>
      <c r="D180" s="52" t="s">
        <v>319</v>
      </c>
      <c r="E180" s="310" t="s">
        <v>319</v>
      </c>
      <c r="F180" s="310" t="s">
        <v>319</v>
      </c>
      <c r="G180" s="310"/>
      <c r="H180" s="52"/>
      <c r="I180" s="341"/>
      <c r="J180" s="341"/>
      <c r="K180" s="310" t="s">
        <v>319</v>
      </c>
      <c r="L180" s="310"/>
      <c r="M180" s="310" t="s">
        <v>319</v>
      </c>
      <c r="N180" s="310"/>
      <c r="O180" s="310" t="s">
        <v>319</v>
      </c>
      <c r="P180" s="52" t="s">
        <v>320</v>
      </c>
      <c r="Q180" s="310" t="s">
        <v>319</v>
      </c>
      <c r="R180" s="310" t="s">
        <v>319</v>
      </c>
      <c r="S180" s="342"/>
      <c r="T180" s="310" t="s">
        <v>319</v>
      </c>
      <c r="U180" s="310" t="s">
        <v>319</v>
      </c>
      <c r="V180" s="310" t="s">
        <v>319</v>
      </c>
      <c r="W180" s="310"/>
      <c r="X180" s="306"/>
      <c r="Y180" s="115">
        <v>0</v>
      </c>
      <c r="Z180" s="115">
        <v>0</v>
      </c>
      <c r="AA180" s="115">
        <v>0</v>
      </c>
      <c r="AB180" s="115">
        <v>0</v>
      </c>
      <c r="AC180" s="242">
        <v>0</v>
      </c>
      <c r="AD180" s="115">
        <v>0</v>
      </c>
      <c r="AE180" s="115">
        <v>0</v>
      </c>
      <c r="AF180" s="115">
        <v>0</v>
      </c>
      <c r="AG180" s="115">
        <v>0</v>
      </c>
      <c r="AH180" s="115">
        <v>0</v>
      </c>
      <c r="AI180" s="115">
        <v>0</v>
      </c>
      <c r="AJ180" s="58"/>
      <c r="AK180" s="58"/>
      <c r="AL180" s="58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47"/>
      <c r="AZ180" s="53">
        <f t="shared" si="59"/>
        <v>0</v>
      </c>
      <c r="BA180" s="51"/>
      <c r="BB180" s="359">
        <f t="shared" si="58"/>
        <v>0</v>
      </c>
    </row>
    <row r="181" spans="1:56" s="36" customFormat="1" ht="15.75" x14ac:dyDescent="0.25">
      <c r="A181" s="113" t="s">
        <v>180</v>
      </c>
      <c r="B181" s="113" t="s">
        <v>182</v>
      </c>
      <c r="C181" s="52" t="s">
        <v>319</v>
      </c>
      <c r="D181" s="52" t="s">
        <v>319</v>
      </c>
      <c r="E181" s="345" t="s">
        <v>697</v>
      </c>
      <c r="F181" s="310" t="s">
        <v>319</v>
      </c>
      <c r="G181" s="310"/>
      <c r="H181" s="52"/>
      <c r="I181" s="341"/>
      <c r="J181" s="341"/>
      <c r="K181" s="310" t="s">
        <v>319</v>
      </c>
      <c r="L181" s="310"/>
      <c r="M181" s="310" t="s">
        <v>319</v>
      </c>
      <c r="N181" s="310"/>
      <c r="O181" s="310" t="s">
        <v>319</v>
      </c>
      <c r="P181" s="310" t="s">
        <v>370</v>
      </c>
      <c r="Q181" s="310" t="s">
        <v>319</v>
      </c>
      <c r="R181" s="310" t="s">
        <v>319</v>
      </c>
      <c r="S181" s="342"/>
      <c r="T181" s="310" t="s">
        <v>319</v>
      </c>
      <c r="U181" s="310" t="s">
        <v>319</v>
      </c>
      <c r="V181" s="310" t="s">
        <v>319</v>
      </c>
      <c r="W181" s="310"/>
      <c r="X181" s="351"/>
      <c r="Y181" s="115">
        <v>0</v>
      </c>
      <c r="Z181" s="115">
        <v>0</v>
      </c>
      <c r="AA181" s="115">
        <v>0</v>
      </c>
      <c r="AB181" s="115">
        <v>0</v>
      </c>
      <c r="AC181" s="115">
        <v>0</v>
      </c>
      <c r="AD181" s="115">
        <v>0</v>
      </c>
      <c r="AE181" s="115">
        <v>0</v>
      </c>
      <c r="AF181" s="115">
        <v>0</v>
      </c>
      <c r="AG181" s="115">
        <v>0</v>
      </c>
      <c r="AH181" s="115"/>
      <c r="AI181" s="115">
        <v>0</v>
      </c>
      <c r="AJ181" s="58"/>
      <c r="AK181" s="58"/>
      <c r="AL181" s="58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47"/>
      <c r="AZ181" s="53">
        <f t="shared" si="59"/>
        <v>0</v>
      </c>
      <c r="BA181" s="51"/>
      <c r="BB181" s="359">
        <f t="shared" si="58"/>
        <v>0</v>
      </c>
    </row>
    <row r="182" spans="1:56" s="36" customFormat="1" ht="15.75" x14ac:dyDescent="0.25">
      <c r="A182" s="244" t="s">
        <v>316</v>
      </c>
      <c r="B182" s="244" t="s">
        <v>435</v>
      </c>
      <c r="C182" s="52" t="s">
        <v>319</v>
      </c>
      <c r="D182" s="52" t="s">
        <v>319</v>
      </c>
      <c r="E182" s="52" t="s">
        <v>319</v>
      </c>
      <c r="F182" s="52" t="s">
        <v>319</v>
      </c>
      <c r="G182" s="52"/>
      <c r="H182" s="52"/>
      <c r="I182" s="341"/>
      <c r="J182" s="341"/>
      <c r="K182" s="52" t="s">
        <v>319</v>
      </c>
      <c r="L182" s="52"/>
      <c r="M182" s="52" t="s">
        <v>319</v>
      </c>
      <c r="N182" s="52"/>
      <c r="O182" s="52" t="s">
        <v>319</v>
      </c>
      <c r="P182" s="52" t="s">
        <v>320</v>
      </c>
      <c r="Q182" s="52" t="s">
        <v>319</v>
      </c>
      <c r="R182" s="52" t="s">
        <v>319</v>
      </c>
      <c r="S182" s="342"/>
      <c r="T182" s="52" t="s">
        <v>319</v>
      </c>
      <c r="U182" s="52" t="s">
        <v>319</v>
      </c>
      <c r="V182" s="52" t="s">
        <v>319</v>
      </c>
      <c r="W182" s="52"/>
      <c r="X182" s="182">
        <v>461956</v>
      </c>
      <c r="Y182" s="115">
        <v>0</v>
      </c>
      <c r="Z182" s="115">
        <v>353138</v>
      </c>
      <c r="AA182" s="115">
        <v>108818</v>
      </c>
      <c r="AB182" s="115">
        <v>0</v>
      </c>
      <c r="AC182" s="115">
        <v>0</v>
      </c>
      <c r="AD182" s="115">
        <v>0</v>
      </c>
      <c r="AE182" s="115">
        <v>0</v>
      </c>
      <c r="AF182" s="115">
        <v>0</v>
      </c>
      <c r="AG182" s="115">
        <v>0</v>
      </c>
      <c r="AH182" s="115">
        <v>0</v>
      </c>
      <c r="AI182" s="115">
        <v>0</v>
      </c>
      <c r="AJ182" s="58"/>
      <c r="AK182" s="58"/>
      <c r="AL182" s="58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47"/>
      <c r="AZ182" s="53">
        <f t="shared" si="59"/>
        <v>461956</v>
      </c>
      <c r="BA182" s="51"/>
      <c r="BB182" s="359">
        <f t="shared" si="58"/>
        <v>0</v>
      </c>
    </row>
    <row r="183" spans="1:56" s="36" customFormat="1" ht="15.75" x14ac:dyDescent="0.25">
      <c r="A183" s="113" t="s">
        <v>325</v>
      </c>
      <c r="B183" s="114" t="s">
        <v>418</v>
      </c>
      <c r="C183" s="52" t="s">
        <v>319</v>
      </c>
      <c r="D183" s="52" t="s">
        <v>319</v>
      </c>
      <c r="E183" s="52" t="s">
        <v>319</v>
      </c>
      <c r="F183" s="52" t="s">
        <v>319</v>
      </c>
      <c r="G183" s="52"/>
      <c r="H183" s="52"/>
      <c r="I183" s="341"/>
      <c r="J183" s="341"/>
      <c r="K183" s="52" t="s">
        <v>319</v>
      </c>
      <c r="L183" s="52"/>
      <c r="M183" s="52" t="s">
        <v>319</v>
      </c>
      <c r="N183" s="52"/>
      <c r="O183" s="52" t="s">
        <v>319</v>
      </c>
      <c r="P183" s="52" t="s">
        <v>320</v>
      </c>
      <c r="Q183" s="52" t="s">
        <v>319</v>
      </c>
      <c r="R183" s="52" t="s">
        <v>319</v>
      </c>
      <c r="S183" s="342"/>
      <c r="T183" s="52" t="s">
        <v>319</v>
      </c>
      <c r="U183" s="52" t="s">
        <v>319</v>
      </c>
      <c r="V183" s="52" t="s">
        <v>319</v>
      </c>
      <c r="W183" s="52"/>
      <c r="X183" s="247">
        <v>15630</v>
      </c>
      <c r="Y183" s="115">
        <v>0</v>
      </c>
      <c r="Z183" s="115">
        <v>0</v>
      </c>
      <c r="AA183" s="115">
        <v>15630</v>
      </c>
      <c r="AB183" s="115">
        <v>0</v>
      </c>
      <c r="AC183" s="115">
        <v>0</v>
      </c>
      <c r="AD183" s="115">
        <v>0</v>
      </c>
      <c r="AE183" s="115">
        <v>0</v>
      </c>
      <c r="AF183" s="115">
        <v>0</v>
      </c>
      <c r="AG183" s="115">
        <v>0</v>
      </c>
      <c r="AH183" s="115">
        <v>0</v>
      </c>
      <c r="AI183" s="115">
        <v>0</v>
      </c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3"/>
      <c r="AY183" s="47"/>
      <c r="AZ183" s="53">
        <f t="shared" si="59"/>
        <v>15630</v>
      </c>
      <c r="BA183" s="51"/>
      <c r="BB183" s="359">
        <f t="shared" si="58"/>
        <v>0</v>
      </c>
    </row>
    <row r="184" spans="1:56" s="36" customFormat="1" ht="15.75" x14ac:dyDescent="0.25">
      <c r="A184" s="113" t="s">
        <v>328</v>
      </c>
      <c r="B184" s="114" t="s">
        <v>419</v>
      </c>
      <c r="C184" s="52" t="s">
        <v>319</v>
      </c>
      <c r="D184" s="52" t="s">
        <v>319</v>
      </c>
      <c r="E184" s="52" t="s">
        <v>319</v>
      </c>
      <c r="F184" s="52" t="s">
        <v>319</v>
      </c>
      <c r="G184" s="52"/>
      <c r="H184" s="52"/>
      <c r="I184" s="341"/>
      <c r="J184" s="341"/>
      <c r="K184" s="52" t="s">
        <v>319</v>
      </c>
      <c r="L184" s="52"/>
      <c r="M184" s="52" t="s">
        <v>319</v>
      </c>
      <c r="N184" s="52"/>
      <c r="O184" s="52" t="s">
        <v>319</v>
      </c>
      <c r="P184" s="52" t="s">
        <v>320</v>
      </c>
      <c r="Q184" s="52" t="s">
        <v>319</v>
      </c>
      <c r="R184" s="52" t="s">
        <v>319</v>
      </c>
      <c r="S184" s="342"/>
      <c r="T184" s="52" t="s">
        <v>319</v>
      </c>
      <c r="U184" s="52" t="s">
        <v>319</v>
      </c>
      <c r="V184" s="52" t="s">
        <v>319</v>
      </c>
      <c r="W184" s="52"/>
      <c r="X184" s="247">
        <v>15000</v>
      </c>
      <c r="Y184" s="115">
        <v>0</v>
      </c>
      <c r="Z184" s="115">
        <v>0</v>
      </c>
      <c r="AA184" s="115">
        <v>5720</v>
      </c>
      <c r="AB184" s="115">
        <v>0</v>
      </c>
      <c r="AC184" s="115">
        <v>9280</v>
      </c>
      <c r="AD184" s="115">
        <v>0</v>
      </c>
      <c r="AE184" s="115">
        <v>0</v>
      </c>
      <c r="AF184" s="115">
        <v>0</v>
      </c>
      <c r="AG184" s="115">
        <v>0</v>
      </c>
      <c r="AH184" s="115">
        <v>0</v>
      </c>
      <c r="AI184" s="115">
        <v>0</v>
      </c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3"/>
      <c r="AY184" s="47"/>
      <c r="AZ184" s="53">
        <f t="shared" si="59"/>
        <v>15000</v>
      </c>
      <c r="BA184" s="51"/>
      <c r="BB184" s="359">
        <f t="shared" si="58"/>
        <v>0</v>
      </c>
    </row>
    <row r="185" spans="1:56" s="36" customFormat="1" ht="15.75" x14ac:dyDescent="0.25">
      <c r="A185" s="113" t="s">
        <v>110</v>
      </c>
      <c r="B185" s="114" t="s">
        <v>111</v>
      </c>
      <c r="C185" s="52" t="s">
        <v>319</v>
      </c>
      <c r="D185" s="52" t="s">
        <v>319</v>
      </c>
      <c r="E185" s="52" t="s">
        <v>319</v>
      </c>
      <c r="F185" s="52" t="s">
        <v>319</v>
      </c>
      <c r="G185" s="52"/>
      <c r="H185" s="52"/>
      <c r="I185" s="341"/>
      <c r="J185" s="341"/>
      <c r="K185" s="52" t="s">
        <v>319</v>
      </c>
      <c r="L185" s="52"/>
      <c r="M185" s="52" t="s">
        <v>319</v>
      </c>
      <c r="N185" s="52"/>
      <c r="O185" s="52" t="s">
        <v>319</v>
      </c>
      <c r="P185" s="52" t="s">
        <v>320</v>
      </c>
      <c r="Q185" s="52" t="s">
        <v>319</v>
      </c>
      <c r="R185" s="52" t="s">
        <v>319</v>
      </c>
      <c r="S185" s="342"/>
      <c r="T185" s="52" t="s">
        <v>319</v>
      </c>
      <c r="U185" s="52" t="s">
        <v>319</v>
      </c>
      <c r="V185" s="52" t="s">
        <v>319</v>
      </c>
      <c r="W185" s="52"/>
      <c r="X185" s="86"/>
      <c r="Y185" s="115">
        <v>0</v>
      </c>
      <c r="Z185" s="115">
        <v>0</v>
      </c>
      <c r="AA185" s="115">
        <v>0</v>
      </c>
      <c r="AB185" s="115">
        <v>0</v>
      </c>
      <c r="AC185" s="115">
        <v>0</v>
      </c>
      <c r="AD185" s="115">
        <v>0</v>
      </c>
      <c r="AE185" s="115">
        <v>0</v>
      </c>
      <c r="AF185" s="115">
        <v>0</v>
      </c>
      <c r="AG185" s="115">
        <v>0</v>
      </c>
      <c r="AH185" s="115">
        <v>0</v>
      </c>
      <c r="AI185" s="115">
        <v>0</v>
      </c>
      <c r="AJ185" s="58"/>
      <c r="AK185" s="58"/>
      <c r="AL185" s="58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47"/>
      <c r="AZ185" s="53">
        <f t="shared" si="59"/>
        <v>0</v>
      </c>
      <c r="BA185" s="51"/>
      <c r="BB185" s="359">
        <f t="shared" si="58"/>
        <v>0</v>
      </c>
    </row>
    <row r="186" spans="1:56" s="36" customFormat="1" ht="15.75" x14ac:dyDescent="0.25">
      <c r="A186" s="113" t="s">
        <v>187</v>
      </c>
      <c r="B186" s="114" t="s">
        <v>188</v>
      </c>
      <c r="C186" s="52" t="s">
        <v>319</v>
      </c>
      <c r="D186" s="52" t="s">
        <v>319</v>
      </c>
      <c r="E186" s="52" t="s">
        <v>319</v>
      </c>
      <c r="F186" s="52" t="s">
        <v>319</v>
      </c>
      <c r="G186" s="52"/>
      <c r="H186" s="52"/>
      <c r="I186" s="341"/>
      <c r="J186" s="341"/>
      <c r="K186" s="52" t="s">
        <v>319</v>
      </c>
      <c r="L186" s="52"/>
      <c r="M186" s="52" t="s">
        <v>319</v>
      </c>
      <c r="N186" s="52"/>
      <c r="O186" s="52" t="s">
        <v>319</v>
      </c>
      <c r="P186" s="52" t="s">
        <v>320</v>
      </c>
      <c r="Q186" s="52" t="s">
        <v>319</v>
      </c>
      <c r="R186" s="52" t="s">
        <v>319</v>
      </c>
      <c r="S186" s="342"/>
      <c r="T186" s="52" t="s">
        <v>319</v>
      </c>
      <c r="U186" s="52" t="s">
        <v>319</v>
      </c>
      <c r="V186" s="52" t="s">
        <v>319</v>
      </c>
      <c r="W186" s="52"/>
      <c r="X186" s="182">
        <v>41062</v>
      </c>
      <c r="Y186" s="115">
        <v>0</v>
      </c>
      <c r="Z186" s="115">
        <v>0</v>
      </c>
      <c r="AA186" s="115">
        <v>0</v>
      </c>
      <c r="AB186" s="115">
        <v>0</v>
      </c>
      <c r="AC186" s="115">
        <v>0</v>
      </c>
      <c r="AD186" s="115">
        <v>41062</v>
      </c>
      <c r="AE186" s="115">
        <v>0</v>
      </c>
      <c r="AF186" s="115">
        <v>0</v>
      </c>
      <c r="AG186" s="115">
        <v>0</v>
      </c>
      <c r="AH186" s="115">
        <v>0</v>
      </c>
      <c r="AI186" s="115">
        <v>0</v>
      </c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47"/>
      <c r="AZ186" s="53">
        <f t="shared" si="59"/>
        <v>41062</v>
      </c>
      <c r="BA186" s="51"/>
      <c r="BB186" s="359">
        <f t="shared" si="58"/>
        <v>0</v>
      </c>
    </row>
    <row r="187" spans="1:56" s="36" customFormat="1" ht="15.75" x14ac:dyDescent="0.25">
      <c r="A187" s="113" t="s">
        <v>178</v>
      </c>
      <c r="B187" s="113" t="s">
        <v>179</v>
      </c>
      <c r="C187" s="52" t="s">
        <v>319</v>
      </c>
      <c r="D187" s="52" t="s">
        <v>319</v>
      </c>
      <c r="E187" s="52" t="s">
        <v>319</v>
      </c>
      <c r="F187" s="52" t="s">
        <v>319</v>
      </c>
      <c r="G187" s="52"/>
      <c r="H187" s="52"/>
      <c r="I187" s="341"/>
      <c r="J187" s="341"/>
      <c r="K187" s="52" t="s">
        <v>319</v>
      </c>
      <c r="L187" s="52"/>
      <c r="M187" s="52" t="s">
        <v>319</v>
      </c>
      <c r="N187" s="52"/>
      <c r="O187" s="52" t="s">
        <v>319</v>
      </c>
      <c r="P187" s="52" t="s">
        <v>320</v>
      </c>
      <c r="Q187" s="52" t="s">
        <v>319</v>
      </c>
      <c r="R187" s="52" t="s">
        <v>319</v>
      </c>
      <c r="S187" s="342"/>
      <c r="T187" s="52" t="s">
        <v>319</v>
      </c>
      <c r="U187" s="52" t="s">
        <v>319</v>
      </c>
      <c r="V187" s="52" t="s">
        <v>319</v>
      </c>
      <c r="W187" s="52"/>
      <c r="X187" s="86"/>
      <c r="Y187" s="115">
        <v>0</v>
      </c>
      <c r="Z187" s="115">
        <v>0</v>
      </c>
      <c r="AA187" s="115">
        <v>0</v>
      </c>
      <c r="AB187" s="115">
        <v>0</v>
      </c>
      <c r="AC187" s="115">
        <v>0</v>
      </c>
      <c r="AD187" s="115">
        <v>0</v>
      </c>
      <c r="AE187" s="115">
        <v>0</v>
      </c>
      <c r="AF187" s="115">
        <v>0</v>
      </c>
      <c r="AG187" s="115">
        <v>0</v>
      </c>
      <c r="AH187" s="115">
        <v>0</v>
      </c>
      <c r="AI187" s="115">
        <v>0</v>
      </c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3"/>
      <c r="AY187" s="47"/>
      <c r="AZ187" s="53">
        <f t="shared" si="59"/>
        <v>0</v>
      </c>
      <c r="BA187" s="51"/>
      <c r="BB187" s="359">
        <f t="shared" si="58"/>
        <v>0</v>
      </c>
    </row>
    <row r="188" spans="1:56" s="36" customFormat="1" ht="15.75" x14ac:dyDescent="0.25">
      <c r="A188" s="113" t="s">
        <v>544</v>
      </c>
      <c r="B188" s="113" t="s">
        <v>668</v>
      </c>
      <c r="C188" s="52" t="s">
        <v>319</v>
      </c>
      <c r="D188" s="52" t="s">
        <v>319</v>
      </c>
      <c r="E188" s="345" t="s">
        <v>691</v>
      </c>
      <c r="F188" s="52" t="s">
        <v>319</v>
      </c>
      <c r="G188" s="52"/>
      <c r="H188" s="52"/>
      <c r="I188" s="341"/>
      <c r="J188" s="341"/>
      <c r="K188" s="52" t="s">
        <v>319</v>
      </c>
      <c r="L188" s="52"/>
      <c r="M188" s="52" t="s">
        <v>319</v>
      </c>
      <c r="N188" s="52"/>
      <c r="O188" s="52" t="s">
        <v>319</v>
      </c>
      <c r="P188" s="87" t="s">
        <v>320</v>
      </c>
      <c r="Q188" s="52" t="s">
        <v>319</v>
      </c>
      <c r="R188" s="52" t="s">
        <v>319</v>
      </c>
      <c r="S188" s="342"/>
      <c r="T188" s="52" t="s">
        <v>319</v>
      </c>
      <c r="U188" s="52" t="s">
        <v>319</v>
      </c>
      <c r="V188" s="52" t="s">
        <v>319</v>
      </c>
      <c r="W188" s="52"/>
      <c r="X188" s="181">
        <v>15493</v>
      </c>
      <c r="Y188" s="115">
        <v>0</v>
      </c>
      <c r="Z188" s="115">
        <v>0</v>
      </c>
      <c r="AA188" s="115">
        <v>0</v>
      </c>
      <c r="AB188" s="115">
        <v>0</v>
      </c>
      <c r="AC188" s="115">
        <v>0</v>
      </c>
      <c r="AD188" s="115">
        <v>0</v>
      </c>
      <c r="AE188" s="115">
        <v>0</v>
      </c>
      <c r="AF188" s="115">
        <v>0</v>
      </c>
      <c r="AG188" s="115">
        <v>15493</v>
      </c>
      <c r="AH188" s="115">
        <v>0</v>
      </c>
      <c r="AI188" s="115">
        <v>0</v>
      </c>
      <c r="AJ188" s="58"/>
      <c r="AK188" s="58"/>
      <c r="AL188" s="58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47"/>
      <c r="AZ188" s="53">
        <f t="shared" si="59"/>
        <v>15493</v>
      </c>
      <c r="BA188" s="51"/>
      <c r="BB188" s="359">
        <f t="shared" si="58"/>
        <v>0</v>
      </c>
    </row>
    <row r="189" spans="1:56" s="36" customFormat="1" ht="15.75" x14ac:dyDescent="0.25">
      <c r="A189" s="113" t="s">
        <v>602</v>
      </c>
      <c r="B189" s="114" t="s">
        <v>603</v>
      </c>
      <c r="C189" s="52" t="s">
        <v>319</v>
      </c>
      <c r="D189" s="52" t="s">
        <v>319</v>
      </c>
      <c r="E189" s="52" t="s">
        <v>319</v>
      </c>
      <c r="F189" s="52" t="s">
        <v>319</v>
      </c>
      <c r="G189" s="52"/>
      <c r="H189" s="52"/>
      <c r="I189" s="341"/>
      <c r="J189" s="341"/>
      <c r="K189" s="52" t="s">
        <v>319</v>
      </c>
      <c r="L189" s="52"/>
      <c r="M189" s="52" t="s">
        <v>319</v>
      </c>
      <c r="N189" s="52"/>
      <c r="O189" s="52" t="s">
        <v>319</v>
      </c>
      <c r="P189" s="52" t="s">
        <v>320</v>
      </c>
      <c r="Q189" s="52" t="s">
        <v>319</v>
      </c>
      <c r="R189" s="52" t="s">
        <v>319</v>
      </c>
      <c r="S189" s="342"/>
      <c r="T189" s="52" t="s">
        <v>319</v>
      </c>
      <c r="U189" s="52" t="s">
        <v>319</v>
      </c>
      <c r="V189" s="52" t="s">
        <v>319</v>
      </c>
      <c r="W189" s="52"/>
      <c r="X189" s="53"/>
      <c r="Y189" s="115">
        <v>0</v>
      </c>
      <c r="Z189" s="115">
        <v>0</v>
      </c>
      <c r="AA189" s="115">
        <v>0</v>
      </c>
      <c r="AB189" s="115">
        <v>0</v>
      </c>
      <c r="AC189" s="115">
        <v>0</v>
      </c>
      <c r="AD189" s="115">
        <v>0</v>
      </c>
      <c r="AE189" s="115">
        <v>0</v>
      </c>
      <c r="AF189" s="115">
        <v>0</v>
      </c>
      <c r="AG189" s="115">
        <v>0</v>
      </c>
      <c r="AH189" s="115">
        <v>0</v>
      </c>
      <c r="AI189" s="115">
        <v>0</v>
      </c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3"/>
      <c r="AY189" s="47"/>
      <c r="AZ189" s="53">
        <f t="shared" si="59"/>
        <v>0</v>
      </c>
      <c r="BA189" s="51"/>
      <c r="BB189" s="359">
        <f t="shared" si="58"/>
        <v>0</v>
      </c>
    </row>
    <row r="190" spans="1:56" s="36" customFormat="1" ht="15.75" x14ac:dyDescent="0.25">
      <c r="A190" s="113" t="s">
        <v>747</v>
      </c>
      <c r="B190" s="114" t="s">
        <v>598</v>
      </c>
      <c r="C190" s="52" t="s">
        <v>319</v>
      </c>
      <c r="D190" s="52" t="s">
        <v>319</v>
      </c>
      <c r="E190" s="52" t="s">
        <v>319</v>
      </c>
      <c r="F190" s="52" t="s">
        <v>319</v>
      </c>
      <c r="G190" s="52"/>
      <c r="H190" s="52"/>
      <c r="I190" s="341"/>
      <c r="J190" s="341"/>
      <c r="K190" s="52" t="s">
        <v>319</v>
      </c>
      <c r="L190" s="52"/>
      <c r="M190" s="52" t="s">
        <v>319</v>
      </c>
      <c r="N190" s="52"/>
      <c r="O190" s="52" t="s">
        <v>319</v>
      </c>
      <c r="P190" s="52" t="s">
        <v>320</v>
      </c>
      <c r="Q190" s="52" t="s">
        <v>319</v>
      </c>
      <c r="R190" s="52" t="s">
        <v>319</v>
      </c>
      <c r="S190" s="342"/>
      <c r="T190" s="52" t="s">
        <v>319</v>
      </c>
      <c r="U190" s="52" t="s">
        <v>319</v>
      </c>
      <c r="V190" s="52" t="s">
        <v>319</v>
      </c>
      <c r="W190" s="52"/>
      <c r="X190" s="53"/>
      <c r="Y190" s="115">
        <v>0</v>
      </c>
      <c r="Z190" s="115">
        <v>0</v>
      </c>
      <c r="AA190" s="115">
        <v>0</v>
      </c>
      <c r="AB190" s="115">
        <v>0</v>
      </c>
      <c r="AC190" s="115">
        <v>0</v>
      </c>
      <c r="AD190" s="115">
        <v>0</v>
      </c>
      <c r="AE190" s="115">
        <v>0</v>
      </c>
      <c r="AF190" s="115">
        <v>0</v>
      </c>
      <c r="AG190" s="115">
        <v>0</v>
      </c>
      <c r="AH190" s="115">
        <v>0</v>
      </c>
      <c r="AI190" s="115">
        <v>0</v>
      </c>
      <c r="AJ190" s="58"/>
      <c r="AK190" s="58"/>
      <c r="AL190" s="58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47"/>
      <c r="AZ190" s="53">
        <f t="shared" si="59"/>
        <v>0</v>
      </c>
      <c r="BA190" s="51"/>
      <c r="BB190" s="359">
        <f t="shared" si="58"/>
        <v>0</v>
      </c>
    </row>
    <row r="191" spans="1:56" s="36" customFormat="1" ht="15.75" x14ac:dyDescent="0.25">
      <c r="A191" s="113" t="s">
        <v>586</v>
      </c>
      <c r="B191" s="114" t="s">
        <v>587</v>
      </c>
      <c r="C191" s="52" t="s">
        <v>319</v>
      </c>
      <c r="D191" s="52" t="s">
        <v>319</v>
      </c>
      <c r="E191" s="52" t="s">
        <v>319</v>
      </c>
      <c r="F191" s="52" t="s">
        <v>319</v>
      </c>
      <c r="G191" s="52"/>
      <c r="H191" s="52"/>
      <c r="I191" s="341"/>
      <c r="J191" s="341"/>
      <c r="K191" s="52" t="s">
        <v>319</v>
      </c>
      <c r="L191" s="52"/>
      <c r="M191" s="52" t="s">
        <v>319</v>
      </c>
      <c r="N191" s="52"/>
      <c r="O191" s="52" t="s">
        <v>319</v>
      </c>
      <c r="P191" s="52" t="s">
        <v>320</v>
      </c>
      <c r="Q191" s="52" t="s">
        <v>319</v>
      </c>
      <c r="R191" s="52" t="s">
        <v>319</v>
      </c>
      <c r="S191" s="342"/>
      <c r="T191" s="52" t="s">
        <v>319</v>
      </c>
      <c r="U191" s="52" t="s">
        <v>319</v>
      </c>
      <c r="V191" s="52" t="s">
        <v>319</v>
      </c>
      <c r="W191" s="52"/>
      <c r="X191" s="58"/>
      <c r="Y191" s="115">
        <v>0</v>
      </c>
      <c r="Z191" s="115">
        <v>0</v>
      </c>
      <c r="AA191" s="115">
        <v>0</v>
      </c>
      <c r="AB191" s="115">
        <v>0</v>
      </c>
      <c r="AC191" s="115">
        <v>0</v>
      </c>
      <c r="AD191" s="115">
        <v>0</v>
      </c>
      <c r="AE191" s="115">
        <v>0</v>
      </c>
      <c r="AF191" s="115">
        <v>0</v>
      </c>
      <c r="AG191" s="115">
        <v>0</v>
      </c>
      <c r="AH191" s="115">
        <v>0</v>
      </c>
      <c r="AI191" s="115">
        <v>0</v>
      </c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3"/>
      <c r="AY191" s="47"/>
      <c r="AZ191" s="53">
        <f t="shared" si="59"/>
        <v>0</v>
      </c>
      <c r="BA191" s="51"/>
      <c r="BB191" s="359">
        <f t="shared" si="58"/>
        <v>0</v>
      </c>
    </row>
    <row r="192" spans="1:56" s="36" customFormat="1" ht="15.75" x14ac:dyDescent="0.25">
      <c r="A192" s="113" t="s">
        <v>583</v>
      </c>
      <c r="B192" s="114" t="s">
        <v>588</v>
      </c>
      <c r="C192" s="52" t="s">
        <v>319</v>
      </c>
      <c r="D192" s="52" t="s">
        <v>319</v>
      </c>
      <c r="E192" s="52" t="s">
        <v>319</v>
      </c>
      <c r="F192" s="52" t="s">
        <v>319</v>
      </c>
      <c r="G192" s="52"/>
      <c r="H192" s="52"/>
      <c r="I192" s="341"/>
      <c r="J192" s="341"/>
      <c r="K192" s="52" t="s">
        <v>319</v>
      </c>
      <c r="L192" s="52"/>
      <c r="M192" s="52" t="s">
        <v>319</v>
      </c>
      <c r="N192" s="52"/>
      <c r="O192" s="52" t="s">
        <v>319</v>
      </c>
      <c r="P192" s="52" t="s">
        <v>320</v>
      </c>
      <c r="Q192" s="52" t="s">
        <v>319</v>
      </c>
      <c r="R192" s="52" t="s">
        <v>319</v>
      </c>
      <c r="S192" s="342"/>
      <c r="T192" s="52" t="s">
        <v>319</v>
      </c>
      <c r="U192" s="52" t="s">
        <v>319</v>
      </c>
      <c r="V192" s="52" t="s">
        <v>319</v>
      </c>
      <c r="W192" s="52"/>
      <c r="X192" s="53"/>
      <c r="Y192" s="115">
        <v>0</v>
      </c>
      <c r="Z192" s="115">
        <v>0</v>
      </c>
      <c r="AA192" s="115">
        <v>0</v>
      </c>
      <c r="AB192" s="115">
        <v>0</v>
      </c>
      <c r="AC192" s="115">
        <v>0</v>
      </c>
      <c r="AD192" s="115">
        <v>0</v>
      </c>
      <c r="AE192" s="115">
        <v>0</v>
      </c>
      <c r="AF192" s="115">
        <v>0</v>
      </c>
      <c r="AG192" s="115">
        <v>0</v>
      </c>
      <c r="AH192" s="115">
        <v>0</v>
      </c>
      <c r="AI192" s="115">
        <v>0</v>
      </c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3"/>
      <c r="AY192" s="47"/>
      <c r="AZ192" s="53">
        <f t="shared" si="59"/>
        <v>0</v>
      </c>
      <c r="BA192" s="51"/>
      <c r="BB192" s="359">
        <f t="shared" si="58"/>
        <v>0</v>
      </c>
      <c r="BD192" s="55"/>
    </row>
    <row r="193" spans="1:56" s="36" customFormat="1" ht="15.75" x14ac:dyDescent="0.25">
      <c r="A193" s="113" t="s">
        <v>584</v>
      </c>
      <c r="B193" s="114" t="s">
        <v>585</v>
      </c>
      <c r="C193" s="52" t="s">
        <v>319</v>
      </c>
      <c r="D193" s="52" t="s">
        <v>319</v>
      </c>
      <c r="E193" s="52" t="s">
        <v>319</v>
      </c>
      <c r="F193" s="52" t="s">
        <v>319</v>
      </c>
      <c r="G193" s="52"/>
      <c r="H193" s="52"/>
      <c r="I193" s="341"/>
      <c r="J193" s="341"/>
      <c r="K193" s="52" t="s">
        <v>319</v>
      </c>
      <c r="L193" s="52"/>
      <c r="M193" s="52" t="s">
        <v>319</v>
      </c>
      <c r="N193" s="52"/>
      <c r="O193" s="52" t="s">
        <v>319</v>
      </c>
      <c r="P193" s="52" t="s">
        <v>320</v>
      </c>
      <c r="Q193" s="52" t="s">
        <v>319</v>
      </c>
      <c r="R193" s="52" t="s">
        <v>319</v>
      </c>
      <c r="S193" s="342"/>
      <c r="T193" s="52" t="s">
        <v>319</v>
      </c>
      <c r="U193" s="52" t="s">
        <v>319</v>
      </c>
      <c r="V193" s="52" t="s">
        <v>319</v>
      </c>
      <c r="W193" s="52"/>
      <c r="X193" s="53"/>
      <c r="Y193" s="115">
        <v>0</v>
      </c>
      <c r="Z193" s="115">
        <v>0</v>
      </c>
      <c r="AA193" s="115">
        <v>0</v>
      </c>
      <c r="AB193" s="115">
        <v>0</v>
      </c>
      <c r="AC193" s="115">
        <v>0</v>
      </c>
      <c r="AD193" s="115">
        <v>0</v>
      </c>
      <c r="AE193" s="115">
        <v>0</v>
      </c>
      <c r="AF193" s="115">
        <v>0</v>
      </c>
      <c r="AG193" s="115">
        <v>0</v>
      </c>
      <c r="AH193" s="115">
        <v>0</v>
      </c>
      <c r="AI193" s="115">
        <v>0</v>
      </c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3"/>
      <c r="AY193" s="47"/>
      <c r="AZ193" s="53">
        <f t="shared" si="59"/>
        <v>0</v>
      </c>
      <c r="BA193" s="51"/>
      <c r="BB193" s="359">
        <f t="shared" si="58"/>
        <v>0</v>
      </c>
      <c r="BD193" s="55"/>
    </row>
    <row r="194" spans="1:56" s="36" customFormat="1" ht="15.75" x14ac:dyDescent="0.25">
      <c r="A194" s="113" t="s">
        <v>714</v>
      </c>
      <c r="B194" s="114" t="s">
        <v>715</v>
      </c>
      <c r="C194" s="52" t="s">
        <v>319</v>
      </c>
      <c r="D194" s="52" t="s">
        <v>319</v>
      </c>
      <c r="E194" s="52" t="s">
        <v>319</v>
      </c>
      <c r="F194" s="52" t="s">
        <v>319</v>
      </c>
      <c r="G194" s="52"/>
      <c r="H194" s="52"/>
      <c r="I194" s="341"/>
      <c r="J194" s="341"/>
      <c r="K194" s="52" t="s">
        <v>319</v>
      </c>
      <c r="L194" s="52"/>
      <c r="M194" s="52" t="s">
        <v>319</v>
      </c>
      <c r="N194" s="52"/>
      <c r="O194" s="52" t="s">
        <v>319</v>
      </c>
      <c r="P194" s="52" t="s">
        <v>320</v>
      </c>
      <c r="Q194" s="52" t="s">
        <v>319</v>
      </c>
      <c r="R194" s="52" t="s">
        <v>319</v>
      </c>
      <c r="S194" s="342"/>
      <c r="T194" s="52" t="s">
        <v>319</v>
      </c>
      <c r="U194" s="52" t="s">
        <v>319</v>
      </c>
      <c r="V194" s="52" t="s">
        <v>319</v>
      </c>
      <c r="W194" s="52"/>
      <c r="X194" s="53"/>
      <c r="Y194" s="115">
        <v>0</v>
      </c>
      <c r="Z194" s="115">
        <v>0</v>
      </c>
      <c r="AA194" s="115">
        <v>0</v>
      </c>
      <c r="AB194" s="115">
        <v>0</v>
      </c>
      <c r="AC194" s="115">
        <v>0</v>
      </c>
      <c r="AD194" s="115">
        <v>0</v>
      </c>
      <c r="AE194" s="115">
        <v>0</v>
      </c>
      <c r="AF194" s="115">
        <v>0</v>
      </c>
      <c r="AG194" s="115">
        <v>0</v>
      </c>
      <c r="AH194" s="115">
        <v>0</v>
      </c>
      <c r="AI194" s="115">
        <v>0</v>
      </c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3"/>
      <c r="AY194" s="47"/>
      <c r="AZ194" s="53">
        <f t="shared" si="59"/>
        <v>0</v>
      </c>
      <c r="BA194" s="51"/>
      <c r="BB194" s="359">
        <f t="shared" si="58"/>
        <v>0</v>
      </c>
      <c r="BD194" s="55"/>
    </row>
    <row r="195" spans="1:56" s="36" customFormat="1" ht="15.75" x14ac:dyDescent="0.25">
      <c r="A195" s="113" t="s">
        <v>589</v>
      </c>
      <c r="B195" s="114" t="s">
        <v>590</v>
      </c>
      <c r="C195" s="52" t="s">
        <v>319</v>
      </c>
      <c r="D195" s="52" t="s">
        <v>319</v>
      </c>
      <c r="E195" s="52" t="s">
        <v>319</v>
      </c>
      <c r="F195" s="52" t="s">
        <v>319</v>
      </c>
      <c r="G195" s="52"/>
      <c r="H195" s="52"/>
      <c r="I195" s="341"/>
      <c r="J195" s="341"/>
      <c r="K195" s="52" t="s">
        <v>319</v>
      </c>
      <c r="L195" s="52"/>
      <c r="M195" s="52" t="s">
        <v>319</v>
      </c>
      <c r="N195" s="52"/>
      <c r="O195" s="52" t="s">
        <v>319</v>
      </c>
      <c r="P195" s="52" t="s">
        <v>320</v>
      </c>
      <c r="Q195" s="52" t="s">
        <v>319</v>
      </c>
      <c r="R195" s="52" t="s">
        <v>319</v>
      </c>
      <c r="S195" s="342"/>
      <c r="T195" s="52" t="s">
        <v>319</v>
      </c>
      <c r="U195" s="52" t="s">
        <v>319</v>
      </c>
      <c r="V195" s="52" t="s">
        <v>319</v>
      </c>
      <c r="W195" s="52"/>
      <c r="X195" s="210"/>
      <c r="Y195" s="115">
        <v>0</v>
      </c>
      <c r="Z195" s="115">
        <v>0</v>
      </c>
      <c r="AA195" s="115">
        <v>0</v>
      </c>
      <c r="AB195" s="115">
        <v>0</v>
      </c>
      <c r="AC195" s="115">
        <v>0</v>
      </c>
      <c r="AD195" s="115">
        <v>0</v>
      </c>
      <c r="AE195" s="115">
        <v>0</v>
      </c>
      <c r="AF195" s="115">
        <v>0</v>
      </c>
      <c r="AG195" s="115">
        <v>0</v>
      </c>
      <c r="AH195" s="115">
        <v>0</v>
      </c>
      <c r="AI195" s="115">
        <v>0</v>
      </c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3"/>
      <c r="AY195" s="47"/>
      <c r="AZ195" s="53">
        <f t="shared" si="59"/>
        <v>0</v>
      </c>
      <c r="BA195" s="51"/>
      <c r="BB195" s="359">
        <f t="shared" si="58"/>
        <v>0</v>
      </c>
      <c r="BD195" s="55"/>
    </row>
    <row r="196" spans="1:56" s="36" customFormat="1" ht="15.75" x14ac:dyDescent="0.25">
      <c r="A196" s="113" t="s">
        <v>720</v>
      </c>
      <c r="B196" s="114" t="s">
        <v>721</v>
      </c>
      <c r="C196" s="52" t="s">
        <v>319</v>
      </c>
      <c r="D196" s="52" t="s">
        <v>319</v>
      </c>
      <c r="E196" s="52" t="s">
        <v>319</v>
      </c>
      <c r="F196" s="52" t="s">
        <v>319</v>
      </c>
      <c r="G196" s="52" t="s">
        <v>320</v>
      </c>
      <c r="H196" s="52"/>
      <c r="I196" s="87" t="s">
        <v>319</v>
      </c>
      <c r="J196" s="87"/>
      <c r="K196" s="52" t="s">
        <v>319</v>
      </c>
      <c r="L196" s="52"/>
      <c r="M196" s="52" t="s">
        <v>319</v>
      </c>
      <c r="N196" s="52"/>
      <c r="O196" s="52" t="s">
        <v>319</v>
      </c>
      <c r="P196" s="52" t="s">
        <v>320</v>
      </c>
      <c r="Q196" s="52" t="s">
        <v>319</v>
      </c>
      <c r="R196" s="52" t="s">
        <v>319</v>
      </c>
      <c r="S196" s="342"/>
      <c r="T196" s="52" t="s">
        <v>319</v>
      </c>
      <c r="U196" s="52" t="s">
        <v>319</v>
      </c>
      <c r="V196" s="52" t="s">
        <v>319</v>
      </c>
      <c r="W196" s="52"/>
      <c r="X196" s="53">
        <v>0</v>
      </c>
      <c r="Y196" s="115">
        <v>0</v>
      </c>
      <c r="Z196" s="115">
        <v>0</v>
      </c>
      <c r="AA196" s="115">
        <v>0</v>
      </c>
      <c r="AB196" s="115">
        <v>0</v>
      </c>
      <c r="AC196" s="115">
        <v>0</v>
      </c>
      <c r="AD196" s="115">
        <v>0</v>
      </c>
      <c r="AE196" s="115">
        <v>0</v>
      </c>
      <c r="AF196" s="115">
        <v>0</v>
      </c>
      <c r="AG196" s="115">
        <v>0</v>
      </c>
      <c r="AH196" s="115">
        <v>0</v>
      </c>
      <c r="AI196" s="115">
        <v>0</v>
      </c>
      <c r="AJ196" s="115">
        <v>0</v>
      </c>
      <c r="AK196" s="53"/>
      <c r="AL196" s="58"/>
      <c r="AM196" s="58"/>
      <c r="AN196" s="275"/>
      <c r="AO196" s="275"/>
      <c r="AP196" s="275"/>
      <c r="AQ196" s="275"/>
      <c r="AR196" s="275"/>
      <c r="AS196" s="275"/>
      <c r="AT196" s="275"/>
      <c r="AU196" s="275"/>
      <c r="AV196" s="275"/>
      <c r="AW196" s="275"/>
      <c r="AX196" s="53"/>
      <c r="AY196" s="47"/>
      <c r="AZ196" s="53"/>
      <c r="BA196" s="51"/>
      <c r="BB196" s="359">
        <f>AZ196-X196</f>
        <v>0</v>
      </c>
      <c r="BD196" s="55"/>
    </row>
    <row r="197" spans="1:56" s="36" customFormat="1" ht="15.75" x14ac:dyDescent="0.25">
      <c r="A197" s="113" t="s">
        <v>722</v>
      </c>
      <c r="B197" s="114" t="s">
        <v>723</v>
      </c>
      <c r="C197" s="52" t="s">
        <v>319</v>
      </c>
      <c r="D197" s="52" t="s">
        <v>319</v>
      </c>
      <c r="E197" s="52" t="s">
        <v>319</v>
      </c>
      <c r="F197" s="52" t="s">
        <v>319</v>
      </c>
      <c r="G197" s="52"/>
      <c r="H197" s="52"/>
      <c r="I197" s="341"/>
      <c r="J197" s="341"/>
      <c r="K197" s="52" t="s">
        <v>319</v>
      </c>
      <c r="L197" s="52"/>
      <c r="M197" s="52" t="s">
        <v>319</v>
      </c>
      <c r="N197" s="52"/>
      <c r="O197" s="52" t="s">
        <v>319</v>
      </c>
      <c r="P197" s="52" t="s">
        <v>320</v>
      </c>
      <c r="Q197" s="52" t="s">
        <v>319</v>
      </c>
      <c r="R197" s="52" t="s">
        <v>319</v>
      </c>
      <c r="S197" s="342"/>
      <c r="T197" s="52" t="s">
        <v>319</v>
      </c>
      <c r="U197" s="52" t="s">
        <v>319</v>
      </c>
      <c r="V197" s="52" t="s">
        <v>319</v>
      </c>
      <c r="W197" s="52"/>
      <c r="X197" s="53"/>
      <c r="Y197" s="115">
        <v>0</v>
      </c>
      <c r="Z197" s="115">
        <v>0</v>
      </c>
      <c r="AA197" s="115">
        <v>0</v>
      </c>
      <c r="AB197" s="115">
        <v>0</v>
      </c>
      <c r="AC197" s="115">
        <v>0</v>
      </c>
      <c r="AD197" s="115">
        <v>0</v>
      </c>
      <c r="AE197" s="115">
        <v>0</v>
      </c>
      <c r="AF197" s="115">
        <v>0</v>
      </c>
      <c r="AG197" s="115">
        <v>0</v>
      </c>
      <c r="AH197" s="115">
        <v>0</v>
      </c>
      <c r="AI197" s="115">
        <v>0</v>
      </c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3"/>
      <c r="AY197" s="47"/>
      <c r="AZ197" s="53">
        <f>SUM(Y197:AY197)</f>
        <v>0</v>
      </c>
      <c r="BA197" s="51"/>
      <c r="BB197" s="359">
        <f t="shared" si="58"/>
        <v>0</v>
      </c>
      <c r="BD197" s="55"/>
    </row>
    <row r="198" spans="1:56" s="36" customFormat="1" ht="15.75" x14ac:dyDescent="0.25">
      <c r="A198" s="113" t="s">
        <v>728</v>
      </c>
      <c r="B198" s="114" t="s">
        <v>731</v>
      </c>
      <c r="C198" s="52" t="s">
        <v>319</v>
      </c>
      <c r="D198" s="52" t="s">
        <v>319</v>
      </c>
      <c r="E198" s="52" t="s">
        <v>319</v>
      </c>
      <c r="F198" s="52" t="s">
        <v>319</v>
      </c>
      <c r="G198" s="52"/>
      <c r="H198" s="52"/>
      <c r="I198" s="341"/>
      <c r="J198" s="341"/>
      <c r="K198" s="52" t="s">
        <v>319</v>
      </c>
      <c r="L198" s="52"/>
      <c r="M198" s="52" t="s">
        <v>319</v>
      </c>
      <c r="N198" s="52"/>
      <c r="O198" s="52" t="s">
        <v>319</v>
      </c>
      <c r="P198" s="52" t="s">
        <v>320</v>
      </c>
      <c r="Q198" s="52" t="s">
        <v>319</v>
      </c>
      <c r="R198" s="52" t="s">
        <v>319</v>
      </c>
      <c r="S198" s="342"/>
      <c r="T198" s="52" t="s">
        <v>319</v>
      </c>
      <c r="U198" s="52" t="s">
        <v>319</v>
      </c>
      <c r="V198" s="52" t="s">
        <v>319</v>
      </c>
      <c r="W198" s="52"/>
      <c r="X198" s="53"/>
      <c r="Y198" s="115">
        <v>0</v>
      </c>
      <c r="Z198" s="115">
        <v>0</v>
      </c>
      <c r="AA198" s="115">
        <v>0</v>
      </c>
      <c r="AB198" s="115">
        <v>0</v>
      </c>
      <c r="AC198" s="115">
        <v>0</v>
      </c>
      <c r="AD198" s="115">
        <v>0</v>
      </c>
      <c r="AE198" s="115">
        <v>0</v>
      </c>
      <c r="AF198" s="115">
        <v>0</v>
      </c>
      <c r="AG198" s="115">
        <v>0</v>
      </c>
      <c r="AH198" s="115">
        <v>0</v>
      </c>
      <c r="AI198" s="115">
        <v>0</v>
      </c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3"/>
      <c r="AY198" s="47"/>
      <c r="AZ198" s="53">
        <f t="shared" si="59"/>
        <v>0</v>
      </c>
      <c r="BA198" s="51"/>
      <c r="BB198" s="359">
        <f t="shared" si="58"/>
        <v>0</v>
      </c>
    </row>
    <row r="199" spans="1:56" s="36" customFormat="1" ht="15.75" x14ac:dyDescent="0.25">
      <c r="A199" s="113" t="s">
        <v>210</v>
      </c>
      <c r="B199" s="114" t="s">
        <v>211</v>
      </c>
      <c r="C199" s="52" t="s">
        <v>165</v>
      </c>
      <c r="D199" s="52" t="s">
        <v>165</v>
      </c>
      <c r="E199" s="52" t="s">
        <v>165</v>
      </c>
      <c r="F199" s="52" t="s">
        <v>165</v>
      </c>
      <c r="G199" s="52"/>
      <c r="H199" s="52"/>
      <c r="I199" s="341"/>
      <c r="J199" s="341"/>
      <c r="K199" s="52" t="s">
        <v>165</v>
      </c>
      <c r="L199" s="52"/>
      <c r="M199" s="52" t="s">
        <v>165</v>
      </c>
      <c r="N199" s="52"/>
      <c r="O199" s="52" t="s">
        <v>165</v>
      </c>
      <c r="P199" s="52" t="s">
        <v>320</v>
      </c>
      <c r="Q199" s="52" t="s">
        <v>165</v>
      </c>
      <c r="R199" s="52" t="s">
        <v>165</v>
      </c>
      <c r="S199" s="342"/>
      <c r="T199" s="52" t="s">
        <v>165</v>
      </c>
      <c r="U199" s="52" t="s">
        <v>165</v>
      </c>
      <c r="V199" s="52" t="s">
        <v>165</v>
      </c>
      <c r="W199" s="52"/>
      <c r="X199" s="86"/>
      <c r="Y199" s="115">
        <v>0</v>
      </c>
      <c r="Z199" s="115">
        <v>0</v>
      </c>
      <c r="AA199" s="115">
        <v>0</v>
      </c>
      <c r="AB199" s="115">
        <v>0</v>
      </c>
      <c r="AC199" s="115">
        <v>0</v>
      </c>
      <c r="AD199" s="115">
        <v>0</v>
      </c>
      <c r="AE199" s="115">
        <v>0</v>
      </c>
      <c r="AF199" s="115">
        <v>0</v>
      </c>
      <c r="AG199" s="115">
        <v>0</v>
      </c>
      <c r="AH199" s="115">
        <v>0</v>
      </c>
      <c r="AI199" s="115">
        <v>0</v>
      </c>
      <c r="AJ199" s="58"/>
      <c r="AK199" s="58"/>
      <c r="AL199" s="58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47"/>
      <c r="AZ199" s="53">
        <f t="shared" si="59"/>
        <v>0</v>
      </c>
      <c r="BA199" s="51"/>
      <c r="BB199" s="359">
        <f t="shared" si="58"/>
        <v>0</v>
      </c>
    </row>
    <row r="200" spans="1:56" s="36" customFormat="1" ht="15.75" x14ac:dyDescent="0.25">
      <c r="A200" s="113" t="s">
        <v>475</v>
      </c>
      <c r="B200" s="114" t="s">
        <v>655</v>
      </c>
      <c r="C200" s="52" t="s">
        <v>165</v>
      </c>
      <c r="D200" s="52" t="s">
        <v>165</v>
      </c>
      <c r="E200" s="52" t="s">
        <v>165</v>
      </c>
      <c r="F200" s="52" t="s">
        <v>165</v>
      </c>
      <c r="G200" s="52" t="s">
        <v>320</v>
      </c>
      <c r="H200" s="52"/>
      <c r="I200" s="52" t="s">
        <v>319</v>
      </c>
      <c r="J200" s="52" t="s">
        <v>319</v>
      </c>
      <c r="K200" s="52" t="s">
        <v>319</v>
      </c>
      <c r="L200" s="52" t="s">
        <v>319</v>
      </c>
      <c r="M200" s="52" t="s">
        <v>319</v>
      </c>
      <c r="N200" s="52" t="s">
        <v>319</v>
      </c>
      <c r="O200" s="52" t="s">
        <v>319</v>
      </c>
      <c r="P200" s="52" t="s">
        <v>320</v>
      </c>
      <c r="Q200" s="52" t="s">
        <v>319</v>
      </c>
      <c r="R200" s="52" t="s">
        <v>319</v>
      </c>
      <c r="S200" s="50" t="s">
        <v>319</v>
      </c>
      <c r="T200" s="52" t="s">
        <v>319</v>
      </c>
      <c r="U200" s="52" t="s">
        <v>319</v>
      </c>
      <c r="V200" s="52" t="s">
        <v>319</v>
      </c>
      <c r="W200" s="52"/>
      <c r="X200" s="53"/>
      <c r="Y200" s="115">
        <v>0</v>
      </c>
      <c r="Z200" s="115">
        <v>0</v>
      </c>
      <c r="AA200" s="115">
        <v>0</v>
      </c>
      <c r="AB200" s="115">
        <v>0</v>
      </c>
      <c r="AC200" s="115">
        <v>0</v>
      </c>
      <c r="AD200" s="115">
        <v>0</v>
      </c>
      <c r="AE200" s="115">
        <v>0</v>
      </c>
      <c r="AF200" s="115">
        <v>0</v>
      </c>
      <c r="AG200" s="115">
        <v>0</v>
      </c>
      <c r="AH200" s="115">
        <v>0</v>
      </c>
      <c r="AI200" s="115">
        <v>0</v>
      </c>
      <c r="AJ200" s="115">
        <v>0</v>
      </c>
      <c r="AK200" s="53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3"/>
      <c r="AY200" s="47"/>
      <c r="AZ200" s="53">
        <f>SUM(Y200:AY200)</f>
        <v>0</v>
      </c>
      <c r="BA200" s="51"/>
      <c r="BB200" s="359">
        <f>AZ200-X200</f>
        <v>0</v>
      </c>
    </row>
    <row r="201" spans="1:56" s="36" customFormat="1" ht="15.75" x14ac:dyDescent="0.25">
      <c r="A201" s="113" t="s">
        <v>398</v>
      </c>
      <c r="B201" s="113" t="s">
        <v>703</v>
      </c>
      <c r="C201" s="394" t="s">
        <v>664</v>
      </c>
      <c r="D201" s="52" t="s">
        <v>45</v>
      </c>
      <c r="E201" s="390" t="s">
        <v>702</v>
      </c>
      <c r="F201" s="52" t="s">
        <v>623</v>
      </c>
      <c r="G201" s="52" t="s">
        <v>320</v>
      </c>
      <c r="H201" s="394" t="s">
        <v>834</v>
      </c>
      <c r="I201" s="52">
        <v>44592</v>
      </c>
      <c r="J201" s="52"/>
      <c r="K201" s="52" t="s">
        <v>319</v>
      </c>
      <c r="L201" s="52" t="s">
        <v>319</v>
      </c>
      <c r="M201" s="52" t="s">
        <v>319</v>
      </c>
      <c r="N201" s="52" t="s">
        <v>319</v>
      </c>
      <c r="O201" s="52" t="s">
        <v>319</v>
      </c>
      <c r="P201" s="52" t="s">
        <v>320</v>
      </c>
      <c r="Q201" s="52" t="s">
        <v>319</v>
      </c>
      <c r="R201" s="52" t="s">
        <v>319</v>
      </c>
      <c r="S201" s="50" t="s">
        <v>319</v>
      </c>
      <c r="T201" s="52" t="s">
        <v>319</v>
      </c>
      <c r="U201" s="52" t="s">
        <v>319</v>
      </c>
      <c r="V201" s="52" t="s">
        <v>319</v>
      </c>
      <c r="W201" s="52"/>
      <c r="X201" s="53">
        <v>2400000</v>
      </c>
      <c r="Y201" s="115">
        <v>0</v>
      </c>
      <c r="Z201" s="115">
        <v>0</v>
      </c>
      <c r="AA201" s="115">
        <v>0</v>
      </c>
      <c r="AB201" s="115">
        <v>0</v>
      </c>
      <c r="AC201" s="115">
        <v>0</v>
      </c>
      <c r="AD201" s="115">
        <v>0</v>
      </c>
      <c r="AE201" s="115">
        <v>0</v>
      </c>
      <c r="AF201" s="115">
        <v>0</v>
      </c>
      <c r="AG201" s="115">
        <v>0</v>
      </c>
      <c r="AH201" s="115">
        <v>0</v>
      </c>
      <c r="AI201" s="115">
        <v>0</v>
      </c>
      <c r="AJ201" s="115">
        <v>0</v>
      </c>
      <c r="AK201" s="53"/>
      <c r="AL201" s="58"/>
      <c r="AM201" s="58"/>
      <c r="AN201" s="58"/>
      <c r="AO201" s="58"/>
      <c r="AP201" s="58"/>
      <c r="AQ201" s="275">
        <v>250000</v>
      </c>
      <c r="AR201" s="275">
        <v>250000</v>
      </c>
      <c r="AS201" s="275">
        <v>250000</v>
      </c>
      <c r="AT201" s="275">
        <v>250000</v>
      </c>
      <c r="AU201" s="275">
        <v>250000</v>
      </c>
      <c r="AV201" s="275">
        <v>250000</v>
      </c>
      <c r="AW201" s="275">
        <v>250000</v>
      </c>
      <c r="AX201" s="275">
        <f>125000+525000</f>
        <v>650000</v>
      </c>
      <c r="AY201" s="47"/>
      <c r="AZ201" s="53">
        <f>SUM(Y201:AY201)</f>
        <v>2400000</v>
      </c>
      <c r="BA201" s="51"/>
      <c r="BB201" s="359">
        <f>AZ201-X201</f>
        <v>0</v>
      </c>
    </row>
    <row r="202" spans="1:56" s="36" customFormat="1" ht="15.75" x14ac:dyDescent="0.25">
      <c r="A202" s="104" t="s">
        <v>337</v>
      </c>
      <c r="B202" s="105" t="s">
        <v>422</v>
      </c>
      <c r="C202" s="52" t="s">
        <v>319</v>
      </c>
      <c r="D202" s="87" t="s">
        <v>319</v>
      </c>
      <c r="E202" s="87" t="s">
        <v>319</v>
      </c>
      <c r="F202" s="87" t="s">
        <v>319</v>
      </c>
      <c r="G202" s="87"/>
      <c r="H202" s="87"/>
      <c r="I202" s="341"/>
      <c r="J202" s="341"/>
      <c r="K202" s="87" t="s">
        <v>319</v>
      </c>
      <c r="L202" s="87"/>
      <c r="M202" s="87" t="s">
        <v>319</v>
      </c>
      <c r="N202" s="87"/>
      <c r="O202" s="87" t="s">
        <v>319</v>
      </c>
      <c r="P202" s="87" t="s">
        <v>320</v>
      </c>
      <c r="Q202" s="52" t="s">
        <v>319</v>
      </c>
      <c r="R202" s="52" t="s">
        <v>319</v>
      </c>
      <c r="S202" s="342"/>
      <c r="T202" s="52" t="s">
        <v>319</v>
      </c>
      <c r="U202" s="52" t="s">
        <v>319</v>
      </c>
      <c r="V202" s="52" t="s">
        <v>319</v>
      </c>
      <c r="W202" s="52"/>
      <c r="X202" s="181">
        <v>37392</v>
      </c>
      <c r="Y202" s="115">
        <v>0</v>
      </c>
      <c r="Z202" s="115">
        <v>0</v>
      </c>
      <c r="AA202" s="115">
        <v>37392</v>
      </c>
      <c r="AB202" s="115">
        <v>0</v>
      </c>
      <c r="AC202" s="115">
        <v>0</v>
      </c>
      <c r="AD202" s="115">
        <v>0</v>
      </c>
      <c r="AE202" s="115">
        <v>0</v>
      </c>
      <c r="AF202" s="115">
        <v>0</v>
      </c>
      <c r="AG202" s="115">
        <v>0</v>
      </c>
      <c r="AH202" s="115">
        <v>0</v>
      </c>
      <c r="AI202" s="115">
        <v>0</v>
      </c>
      <c r="AJ202" s="58"/>
      <c r="AK202" s="58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47"/>
      <c r="AZ202" s="53">
        <f t="shared" si="59"/>
        <v>37392</v>
      </c>
      <c r="BA202" s="51"/>
      <c r="BB202" s="359">
        <f t="shared" si="58"/>
        <v>0</v>
      </c>
    </row>
    <row r="203" spans="1:56" s="36" customFormat="1" ht="15.75" x14ac:dyDescent="0.25">
      <c r="A203" s="283" t="s">
        <v>340</v>
      </c>
      <c r="B203" s="56" t="s">
        <v>429</v>
      </c>
      <c r="C203" s="52" t="s">
        <v>319</v>
      </c>
      <c r="D203" s="87" t="s">
        <v>319</v>
      </c>
      <c r="E203" s="87" t="s">
        <v>319</v>
      </c>
      <c r="F203" s="87" t="s">
        <v>319</v>
      </c>
      <c r="G203" s="87"/>
      <c r="H203" s="87"/>
      <c r="I203" s="341"/>
      <c r="J203" s="341"/>
      <c r="K203" s="87" t="s">
        <v>319</v>
      </c>
      <c r="L203" s="87"/>
      <c r="M203" s="87" t="s">
        <v>319</v>
      </c>
      <c r="N203" s="87"/>
      <c r="O203" s="87" t="s">
        <v>319</v>
      </c>
      <c r="P203" s="52" t="s">
        <v>320</v>
      </c>
      <c r="Q203" s="52" t="s">
        <v>319</v>
      </c>
      <c r="R203" s="87" t="s">
        <v>319</v>
      </c>
      <c r="S203" s="342"/>
      <c r="T203" s="52" t="s">
        <v>319</v>
      </c>
      <c r="U203" s="52" t="s">
        <v>319</v>
      </c>
      <c r="V203" s="52" t="s">
        <v>319</v>
      </c>
      <c r="W203" s="52"/>
      <c r="X203" s="182">
        <v>3575</v>
      </c>
      <c r="Y203" s="115">
        <v>0</v>
      </c>
      <c r="Z203" s="115">
        <v>0</v>
      </c>
      <c r="AA203" s="115">
        <v>3575</v>
      </c>
      <c r="AB203" s="115">
        <v>0</v>
      </c>
      <c r="AC203" s="115">
        <v>0</v>
      </c>
      <c r="AD203" s="115">
        <v>0</v>
      </c>
      <c r="AE203" s="115">
        <v>0</v>
      </c>
      <c r="AF203" s="115">
        <v>0</v>
      </c>
      <c r="AG203" s="115">
        <v>0</v>
      </c>
      <c r="AH203" s="115">
        <v>0</v>
      </c>
      <c r="AI203" s="115">
        <v>0</v>
      </c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3"/>
      <c r="AY203" s="47"/>
      <c r="AZ203" s="53">
        <f t="shared" si="59"/>
        <v>3575</v>
      </c>
      <c r="BA203" s="51"/>
      <c r="BB203" s="359">
        <f t="shared" si="58"/>
        <v>0</v>
      </c>
    </row>
    <row r="204" spans="1:56" s="36" customFormat="1" ht="15.75" x14ac:dyDescent="0.25">
      <c r="A204" s="93"/>
      <c r="B204" s="94"/>
      <c r="C204" s="91"/>
      <c r="D204" s="91"/>
      <c r="E204" s="94"/>
      <c r="F204" s="91"/>
      <c r="G204" s="91"/>
      <c r="H204" s="436"/>
      <c r="I204" s="91"/>
      <c r="J204" s="91"/>
      <c r="K204" s="91"/>
      <c r="L204" s="91"/>
      <c r="M204" s="91"/>
      <c r="N204" s="91"/>
      <c r="O204" s="92"/>
      <c r="P204" s="91"/>
      <c r="Q204" s="91"/>
      <c r="R204" s="91"/>
      <c r="S204" s="92"/>
      <c r="T204" s="92"/>
      <c r="U204" s="92"/>
      <c r="V204" s="92"/>
      <c r="W204" s="92"/>
      <c r="X204" s="243">
        <f t="shared" ref="X204:AX204" si="60">SUM(X174:X203)</f>
        <v>3297825</v>
      </c>
      <c r="Y204" s="243">
        <f t="shared" si="60"/>
        <v>122184</v>
      </c>
      <c r="Z204" s="243">
        <f t="shared" si="60"/>
        <v>353138</v>
      </c>
      <c r="AA204" s="243">
        <f t="shared" si="60"/>
        <v>171135</v>
      </c>
      <c r="AB204" s="243">
        <f t="shared" si="60"/>
        <v>0</v>
      </c>
      <c r="AC204" s="243">
        <f t="shared" si="60"/>
        <v>155902</v>
      </c>
      <c r="AD204" s="243">
        <f t="shared" si="60"/>
        <v>74336</v>
      </c>
      <c r="AE204" s="243">
        <f t="shared" si="60"/>
        <v>0</v>
      </c>
      <c r="AF204" s="243">
        <f t="shared" si="60"/>
        <v>5637</v>
      </c>
      <c r="AG204" s="243">
        <f t="shared" si="60"/>
        <v>15493</v>
      </c>
      <c r="AH204" s="243">
        <f t="shared" si="60"/>
        <v>0</v>
      </c>
      <c r="AI204" s="243">
        <f t="shared" si="60"/>
        <v>0</v>
      </c>
      <c r="AJ204" s="243">
        <f t="shared" si="60"/>
        <v>0</v>
      </c>
      <c r="AK204" s="243">
        <f t="shared" si="60"/>
        <v>0</v>
      </c>
      <c r="AL204" s="243">
        <f t="shared" si="60"/>
        <v>0</v>
      </c>
      <c r="AM204" s="243">
        <f t="shared" si="60"/>
        <v>0</v>
      </c>
      <c r="AN204" s="243">
        <f t="shared" si="60"/>
        <v>0</v>
      </c>
      <c r="AO204" s="243">
        <f t="shared" si="60"/>
        <v>0</v>
      </c>
      <c r="AP204" s="243">
        <f t="shared" si="60"/>
        <v>0</v>
      </c>
      <c r="AQ204" s="243">
        <f t="shared" si="60"/>
        <v>250000</v>
      </c>
      <c r="AR204" s="243">
        <f t="shared" si="60"/>
        <v>250000</v>
      </c>
      <c r="AS204" s="243">
        <f t="shared" si="60"/>
        <v>250000</v>
      </c>
      <c r="AT204" s="243">
        <f t="shared" si="60"/>
        <v>250000</v>
      </c>
      <c r="AU204" s="243">
        <f t="shared" si="60"/>
        <v>250000</v>
      </c>
      <c r="AV204" s="243">
        <f t="shared" si="60"/>
        <v>250000</v>
      </c>
      <c r="AW204" s="243">
        <f t="shared" si="60"/>
        <v>250000</v>
      </c>
      <c r="AX204" s="243">
        <f t="shared" si="60"/>
        <v>650000</v>
      </c>
      <c r="AY204" s="47"/>
      <c r="AZ204" s="53">
        <f t="shared" si="59"/>
        <v>3297825</v>
      </c>
      <c r="BA204" s="51"/>
      <c r="BB204" s="359">
        <f t="shared" si="58"/>
        <v>0</v>
      </c>
    </row>
    <row r="205" spans="1:56" s="78" customFormat="1" ht="15.75" x14ac:dyDescent="0.25">
      <c r="A205"/>
      <c r="B205"/>
      <c r="C205" s="74"/>
      <c r="D205" s="74"/>
      <c r="E205"/>
      <c r="F205" s="74"/>
      <c r="G205" s="74"/>
      <c r="H205" s="74"/>
      <c r="I205" s="74"/>
      <c r="J205" s="74"/>
      <c r="K205" s="295"/>
      <c r="L205" s="295"/>
      <c r="M205" s="295"/>
      <c r="N205" s="295"/>
      <c r="O205" s="296"/>
      <c r="P205" s="74"/>
      <c r="Q205" s="74"/>
      <c r="R205" s="74"/>
      <c r="S205" s="296"/>
      <c r="T205" s="38"/>
      <c r="U205" s="38"/>
      <c r="V205" s="38"/>
      <c r="W205" s="38"/>
      <c r="Y205" s="278"/>
      <c r="Z205" s="131"/>
      <c r="AA205" s="134"/>
      <c r="AB205" s="135"/>
      <c r="AC205" s="131"/>
      <c r="AD205" s="133"/>
      <c r="AE205" s="133"/>
      <c r="AF205" s="130"/>
      <c r="AG205" s="130"/>
      <c r="AH205" s="130"/>
      <c r="AI205" s="130"/>
      <c r="AJ205" s="130"/>
      <c r="AK205" s="278"/>
      <c r="AL205" s="278"/>
      <c r="AM205" s="278"/>
      <c r="AN205" s="278"/>
      <c r="AO205" s="278"/>
      <c r="AP205" s="278"/>
      <c r="AQ205" s="278"/>
      <c r="AR205" s="278"/>
      <c r="AS205" s="278"/>
      <c r="AT205" s="278"/>
      <c r="AU205" s="278"/>
      <c r="AV205" s="278"/>
      <c r="AW205" s="278"/>
      <c r="AX205" s="130"/>
      <c r="AY205" s="47"/>
      <c r="BA205" s="79"/>
      <c r="BB205" s="361"/>
    </row>
    <row r="206" spans="1:56" s="78" customFormat="1" ht="15.75" x14ac:dyDescent="0.25">
      <c r="A206"/>
      <c r="B206"/>
      <c r="C206" s="74"/>
      <c r="D206" s="74"/>
      <c r="E206"/>
      <c r="F206" s="74"/>
      <c r="G206" s="74"/>
      <c r="H206" s="74"/>
      <c r="I206" s="74"/>
      <c r="J206" s="74"/>
      <c r="K206" s="295"/>
      <c r="L206" s="295"/>
      <c r="M206" s="295"/>
      <c r="N206" s="295"/>
      <c r="O206" s="296"/>
      <c r="P206" s="74"/>
      <c r="Q206" s="74"/>
      <c r="R206" s="74"/>
      <c r="S206" s="296"/>
      <c r="T206" s="38"/>
      <c r="U206" s="38"/>
      <c r="V206" s="38"/>
      <c r="W206" s="38"/>
      <c r="Y206" s="278"/>
      <c r="Z206" s="80"/>
      <c r="AA206" s="3"/>
      <c r="AB206" s="8"/>
      <c r="AC206" s="80"/>
      <c r="AD206" s="81"/>
      <c r="AE206" s="81"/>
      <c r="AK206" s="277"/>
      <c r="AL206" s="277"/>
      <c r="AM206" s="277"/>
      <c r="AN206" s="277"/>
      <c r="AO206" s="277"/>
      <c r="AP206" s="277"/>
      <c r="AQ206" s="277"/>
      <c r="AR206" s="277"/>
      <c r="AS206" s="277"/>
      <c r="AT206" s="277"/>
      <c r="AU206" s="277"/>
      <c r="AV206" s="277"/>
      <c r="AW206" s="277"/>
      <c r="AY206" s="47"/>
      <c r="BA206" s="79"/>
      <c r="BB206" s="361"/>
    </row>
    <row r="207" spans="1:56" s="78" customFormat="1" ht="15.75" x14ac:dyDescent="0.25">
      <c r="A207"/>
      <c r="B207"/>
      <c r="C207" s="74"/>
      <c r="D207" s="74"/>
      <c r="E207"/>
      <c r="F207" s="74"/>
      <c r="G207" s="74"/>
      <c r="H207" s="74"/>
      <c r="I207" s="74"/>
      <c r="J207" s="74"/>
      <c r="K207" s="295"/>
      <c r="L207" s="295"/>
      <c r="M207" s="295"/>
      <c r="N207" s="295"/>
      <c r="O207" s="296"/>
      <c r="P207" s="74"/>
      <c r="Q207" s="74"/>
      <c r="R207" s="74"/>
      <c r="S207" s="296"/>
      <c r="T207" s="38"/>
      <c r="U207" s="38"/>
      <c r="V207" s="38"/>
      <c r="W207" s="38"/>
      <c r="Y207" s="278"/>
      <c r="Z207" s="80"/>
      <c r="AA207" s="3"/>
      <c r="AB207" s="8"/>
      <c r="AC207" s="80"/>
      <c r="AD207" s="81"/>
      <c r="AE207" s="81"/>
      <c r="AK207" s="277"/>
      <c r="AL207" s="277"/>
      <c r="AM207" s="277"/>
      <c r="AN207" s="277"/>
      <c r="AO207" s="277"/>
      <c r="AP207" s="277"/>
      <c r="AQ207" s="277"/>
      <c r="AR207" s="277"/>
      <c r="AS207" s="277"/>
      <c r="AT207" s="277"/>
      <c r="AU207" s="277"/>
      <c r="AV207" s="277"/>
      <c r="AW207" s="277"/>
      <c r="AY207" s="47"/>
      <c r="BA207" s="79"/>
      <c r="BB207" s="361"/>
    </row>
    <row r="208" spans="1:56" s="78" customFormat="1" ht="15.75" x14ac:dyDescent="0.25">
      <c r="A208"/>
      <c r="B208"/>
      <c r="C208" s="74"/>
      <c r="D208" s="74"/>
      <c r="E208"/>
      <c r="F208" s="74"/>
      <c r="G208" s="74"/>
      <c r="H208" s="74"/>
      <c r="I208" s="74"/>
      <c r="J208" s="74"/>
      <c r="K208" s="295"/>
      <c r="L208" s="295"/>
      <c r="M208" s="295"/>
      <c r="N208" s="295"/>
      <c r="O208" s="296"/>
      <c r="P208" s="74"/>
      <c r="Q208" s="74"/>
      <c r="R208" s="74"/>
      <c r="S208" s="296"/>
      <c r="T208" s="38"/>
      <c r="U208" s="38"/>
      <c r="V208" s="38"/>
      <c r="W208" s="38"/>
      <c r="Y208" s="278"/>
      <c r="Z208" s="80"/>
      <c r="AA208" s="3"/>
      <c r="AB208" s="8"/>
      <c r="AC208" s="80"/>
      <c r="AD208" s="81"/>
      <c r="AE208" s="81"/>
      <c r="AK208" s="277"/>
      <c r="AL208" s="277"/>
      <c r="AM208" s="277"/>
      <c r="AN208" s="277"/>
      <c r="AO208" s="277"/>
      <c r="AP208" s="277"/>
      <c r="AQ208" s="277"/>
      <c r="AR208" s="277"/>
      <c r="AS208" s="277"/>
      <c r="AT208" s="277"/>
      <c r="AU208" s="277"/>
      <c r="AV208" s="277"/>
      <c r="AW208" s="277"/>
      <c r="AY208" s="47"/>
      <c r="BA208" s="79"/>
      <c r="BB208" s="361"/>
    </row>
    <row r="209" spans="1:54" s="78" customFormat="1" ht="15.75" x14ac:dyDescent="0.25">
      <c r="A209"/>
      <c r="B209"/>
      <c r="C209" s="74"/>
      <c r="D209" s="74"/>
      <c r="E209"/>
      <c r="F209" s="74"/>
      <c r="G209" s="74"/>
      <c r="H209" s="74"/>
      <c r="I209" s="74"/>
      <c r="J209" s="74"/>
      <c r="K209" s="295"/>
      <c r="L209" s="295"/>
      <c r="M209" s="295"/>
      <c r="N209" s="295"/>
      <c r="O209" s="296"/>
      <c r="P209" s="74"/>
      <c r="Q209" s="74"/>
      <c r="R209" s="74"/>
      <c r="S209" s="296"/>
      <c r="T209" s="38"/>
      <c r="U209" s="38"/>
      <c r="V209" s="38"/>
      <c r="W209" s="38"/>
      <c r="Y209" s="278"/>
      <c r="Z209" s="80"/>
      <c r="AA209" s="3"/>
      <c r="AB209" s="8"/>
      <c r="AC209" s="80"/>
      <c r="AD209" s="81"/>
      <c r="AE209" s="81"/>
      <c r="AK209" s="277"/>
      <c r="AL209" s="277"/>
      <c r="AM209" s="277"/>
      <c r="AN209" s="277"/>
      <c r="AO209" s="277"/>
      <c r="AP209" s="277"/>
      <c r="AQ209" s="277"/>
      <c r="AR209" s="277"/>
      <c r="AS209" s="277"/>
      <c r="AT209" s="277"/>
      <c r="AU209" s="277"/>
      <c r="AV209" s="277"/>
      <c r="AW209" s="277"/>
      <c r="AY209" s="47"/>
      <c r="BA209" s="79"/>
      <c r="BB209" s="361"/>
    </row>
    <row r="210" spans="1:54" s="78" customFormat="1" ht="15.75" x14ac:dyDescent="0.25">
      <c r="A210"/>
      <c r="B210"/>
      <c r="C210" s="74"/>
      <c r="D210" s="74"/>
      <c r="E210"/>
      <c r="F210" s="74"/>
      <c r="G210" s="74"/>
      <c r="H210" s="74"/>
      <c r="I210" s="74"/>
      <c r="J210" s="74"/>
      <c r="K210" s="295"/>
      <c r="L210" s="295"/>
      <c r="M210" s="295"/>
      <c r="N210" s="295"/>
      <c r="O210" s="296"/>
      <c r="P210" s="74"/>
      <c r="Q210" s="74"/>
      <c r="R210" s="74"/>
      <c r="S210" s="296"/>
      <c r="T210" s="38"/>
      <c r="U210" s="38"/>
      <c r="V210" s="38"/>
      <c r="W210" s="38"/>
      <c r="Y210" s="278"/>
      <c r="Z210" s="80"/>
      <c r="AA210" s="3"/>
      <c r="AB210" s="8"/>
      <c r="AC210" s="80"/>
      <c r="AD210" s="81"/>
      <c r="AE210" s="81"/>
      <c r="AK210" s="277"/>
      <c r="AL210" s="277"/>
      <c r="AM210" s="277"/>
      <c r="AN210" s="277"/>
      <c r="AO210" s="277"/>
      <c r="AP210" s="277"/>
      <c r="AQ210" s="277"/>
      <c r="AR210" s="277"/>
      <c r="AS210" s="277"/>
      <c r="AT210" s="277"/>
      <c r="AU210" s="277"/>
      <c r="AV210" s="277"/>
      <c r="AW210" s="277"/>
      <c r="AY210" s="47"/>
      <c r="BA210" s="79"/>
      <c r="BB210" s="361"/>
    </row>
    <row r="211" spans="1:54" s="78" customFormat="1" ht="15.75" x14ac:dyDescent="0.25">
      <c r="A211"/>
      <c r="B211"/>
      <c r="C211" s="74"/>
      <c r="D211" s="74"/>
      <c r="E211"/>
      <c r="F211" s="74"/>
      <c r="G211" s="74"/>
      <c r="H211" s="74"/>
      <c r="I211" s="74"/>
      <c r="J211" s="74"/>
      <c r="K211" s="295"/>
      <c r="L211" s="295"/>
      <c r="M211" s="295"/>
      <c r="N211" s="295"/>
      <c r="O211" s="296"/>
      <c r="P211" s="74"/>
      <c r="Q211" s="74"/>
      <c r="R211" s="74"/>
      <c r="S211" s="296"/>
      <c r="T211" s="38"/>
      <c r="U211" s="38"/>
      <c r="V211" s="38"/>
      <c r="W211" s="38"/>
      <c r="Y211" s="278"/>
      <c r="Z211" s="80"/>
      <c r="AA211" s="3"/>
      <c r="AB211" s="8"/>
      <c r="AC211" s="80"/>
      <c r="AD211" s="81"/>
      <c r="AE211" s="81"/>
      <c r="AK211" s="277"/>
      <c r="AL211" s="277"/>
      <c r="AM211" s="277"/>
      <c r="AN211" s="277"/>
      <c r="AO211" s="277"/>
      <c r="AP211" s="277"/>
      <c r="AQ211" s="277"/>
      <c r="AR211" s="277"/>
      <c r="AS211" s="277"/>
      <c r="AT211" s="277"/>
      <c r="AU211" s="277"/>
      <c r="AV211" s="277"/>
      <c r="AW211" s="277"/>
      <c r="AY211" s="79"/>
      <c r="BA211" s="79"/>
      <c r="BB211" s="361"/>
    </row>
    <row r="212" spans="1:54" s="78" customFormat="1" x14ac:dyDescent="0.25">
      <c r="A212"/>
      <c r="B212"/>
      <c r="C212" s="74"/>
      <c r="D212" s="74"/>
      <c r="E212"/>
      <c r="F212" s="74"/>
      <c r="G212" s="74"/>
      <c r="H212" s="74"/>
      <c r="I212" s="74"/>
      <c r="J212" s="74"/>
      <c r="K212" s="295"/>
      <c r="L212" s="295"/>
      <c r="M212" s="295"/>
      <c r="N212" s="295"/>
      <c r="O212" s="296"/>
      <c r="P212" s="74"/>
      <c r="Q212" s="74"/>
      <c r="R212" s="74"/>
      <c r="S212" s="296"/>
      <c r="T212" s="38"/>
      <c r="U212" s="38"/>
      <c r="V212" s="38"/>
      <c r="W212" s="38"/>
      <c r="Y212" s="278"/>
      <c r="Z212" s="80"/>
      <c r="AA212" s="80"/>
      <c r="AB212" s="80"/>
      <c r="AC212" s="80"/>
      <c r="AD212" s="81"/>
      <c r="AE212" s="81"/>
      <c r="AK212" s="277"/>
      <c r="AL212" s="277"/>
      <c r="AM212" s="277"/>
      <c r="AN212" s="277"/>
      <c r="AO212" s="277"/>
      <c r="AP212" s="277"/>
      <c r="AQ212" s="277"/>
      <c r="AR212" s="277"/>
      <c r="AS212" s="277"/>
      <c r="AT212" s="277"/>
      <c r="AU212" s="277"/>
      <c r="AV212" s="277"/>
      <c r="AW212" s="277"/>
      <c r="AY212" s="79"/>
      <c r="BA212" s="79"/>
      <c r="BB212" s="361"/>
    </row>
  </sheetData>
  <protectedRanges>
    <protectedRange algorithmName="SHA-512" hashValue="p1zaDFJkdjN+AnmfzFBjbFKRbWYOQQg+cT1DzqDhOzloqO83qQsI/t5kPN30lmEEP3guKkM4uc2fEPeaztRBYA==" saltValue="+Rl2QHA+Wv31lMWEuJdOoQ==" spinCount="100000" sqref="I43:M43" name="Nolan_7_2"/>
    <protectedRange algorithmName="SHA-512" hashValue="p1zaDFJkdjN+AnmfzFBjbFKRbWYOQQg+cT1DzqDhOzloqO83qQsI/t5kPN30lmEEP3guKkM4uc2fEPeaztRBYA==" saltValue="+Rl2QHA+Wv31lMWEuJdOoQ==" spinCount="100000" sqref="J94:M94" name="Nolan_21"/>
    <protectedRange algorithmName="SHA-512" hashValue="7kKMQlnDQnaF2pWl7cOum7Q4v5K+/RuncQjNwOX/9VMC6IpRzPVvdGKHyOugwdH0ncs0E84+2rLp7ry6I8ErdA==" saltValue="jtLfJTgX02XzBGTPnDDc1A==" spinCount="100000" sqref="E39" name="Peggy_1"/>
    <protectedRange algorithmName="SHA-512" hashValue="p1zaDFJkdjN+AnmfzFBjbFKRbWYOQQg+cT1DzqDhOzloqO83qQsI/t5kPN30lmEEP3guKkM4uc2fEPeaztRBYA==" saltValue="+Rl2QHA+Wv31lMWEuJdOoQ==" spinCount="100000" sqref="J39:N39" name="Nolan"/>
    <protectedRange algorithmName="SHA-512" hashValue="7kKMQlnDQnaF2pWl7cOum7Q4v5K+/RuncQjNwOX/9VMC6IpRzPVvdGKHyOugwdH0ncs0E84+2rLp7ry6I8ErdA==" saltValue="jtLfJTgX02XzBGTPnDDc1A==" spinCount="100000" sqref="E26" name="Peggy_11"/>
    <protectedRange algorithmName="SHA-512" hashValue="p1zaDFJkdjN+AnmfzFBjbFKRbWYOQQg+cT1DzqDhOzloqO83qQsI/t5kPN30lmEEP3guKkM4uc2fEPeaztRBYA==" saltValue="+Rl2QHA+Wv31lMWEuJdOoQ==" spinCount="100000" sqref="K26:N26" name="Nolan_9"/>
    <protectedRange algorithmName="SHA-512" hashValue="7kKMQlnDQnaF2pWl7cOum7Q4v5K+/RuncQjNwOX/9VMC6IpRzPVvdGKHyOugwdH0ncs0E84+2rLp7ry6I8ErdA==" saltValue="jtLfJTgX02XzBGTPnDDc1A==" spinCount="100000" sqref="E40" name="Peggy_3"/>
    <protectedRange algorithmName="SHA-512" hashValue="p1zaDFJkdjN+AnmfzFBjbFKRbWYOQQg+cT1DzqDhOzloqO83qQsI/t5kPN30lmEEP3guKkM4uc2fEPeaztRBYA==" saltValue="+Rl2QHA+Wv31lMWEuJdOoQ==" spinCount="100000" sqref="J40:N40" name="Nolan_2"/>
    <protectedRange algorithmName="SHA-512" hashValue="p1zaDFJkdjN+AnmfzFBjbFKRbWYOQQg+cT1DzqDhOzloqO83qQsI/t5kPN30lmEEP3guKkM4uc2fEPeaztRBYA==" saltValue="+Rl2QHA+Wv31lMWEuJdOoQ==" spinCount="100000" sqref="K8:N8" name="Nolan_13_1"/>
    <protectedRange algorithmName="SHA-512" hashValue="p1zaDFJkdjN+AnmfzFBjbFKRbWYOQQg+cT1DzqDhOzloqO83qQsI/t5kPN30lmEEP3guKkM4uc2fEPeaztRBYA==" saltValue="+Rl2QHA+Wv31lMWEuJdOoQ==" spinCount="100000" sqref="M109" name="Nolan_3"/>
    <protectedRange algorithmName="SHA-512" hashValue="7kKMQlnDQnaF2pWl7cOum7Q4v5K+/RuncQjNwOX/9VMC6IpRzPVvdGKHyOugwdH0ncs0E84+2rLp7ry6I8ErdA==" saltValue="jtLfJTgX02XzBGTPnDDc1A==" spinCount="100000" sqref="E110" name="Peggy_2"/>
    <protectedRange algorithmName="SHA-512" hashValue="p1zaDFJkdjN+AnmfzFBjbFKRbWYOQQg+cT1DzqDhOzloqO83qQsI/t5kPN30lmEEP3guKkM4uc2fEPeaztRBYA==" saltValue="+Rl2QHA+Wv31lMWEuJdOoQ==" spinCount="100000" sqref="J110:M110" name="Nolan_1"/>
  </protectedRanges>
  <autoFilter ref="A2:BD146" xr:uid="{155B033E-ED50-4051-9E61-2AFEDD2E1F31}"/>
  <sortState xmlns:xlrd2="http://schemas.microsoft.com/office/spreadsheetml/2017/richdata2" ref="A88:BD135">
    <sortCondition ref="A88:A135"/>
  </sortState>
  <mergeCells count="2">
    <mergeCell ref="Z1:AK1"/>
    <mergeCell ref="AL1:AW1"/>
  </mergeCells>
  <phoneticPr fontId="5" type="noConversion"/>
  <conditionalFormatting sqref="AZ174:AZ183 AZ24:AZ26 AZ111:AZ114 AZ29:AZ39 AZ109 AZ53:AZ55 AZ6:AZ7 AZ3:AZ4 AZ9:AZ22 AZ58:AZ64 AZ120:AZ145 AZ186:AZ203 AZ41:AZ43 AZ45:AZ48 AZ50:AZ51 AZ66:AZ67 AZ69:AZ85 AZ87:AZ107">
    <cfRule type="cellIs" dxfId="1010" priority="289" operator="lessThan">
      <formula>X3</formula>
    </cfRule>
    <cfRule type="cellIs" dxfId="1009" priority="290" operator="greaterThan">
      <formula>X3</formula>
    </cfRule>
    <cfRule type="cellIs" dxfId="1008" priority="291" operator="equal">
      <formula>X3</formula>
    </cfRule>
  </conditionalFormatting>
  <conditionalFormatting sqref="P163:P165 P167:P170 P205:P1048576 P174:P177 P2:P51 P179:P203 P120:P157 P53:P115">
    <cfRule type="cellIs" dxfId="1007" priority="287" operator="equal">
      <formula>"no"</formula>
    </cfRule>
    <cfRule type="cellIs" dxfId="1006" priority="288" operator="equal">
      <formula>"yes"</formula>
    </cfRule>
  </conditionalFormatting>
  <conditionalFormatting sqref="P126:P129">
    <cfRule type="cellIs" dxfId="1005" priority="283" operator="equal">
      <formula>"no"</formula>
    </cfRule>
    <cfRule type="cellIs" dxfId="1004" priority="284" operator="equal">
      <formula>"yes"</formula>
    </cfRule>
  </conditionalFormatting>
  <conditionalFormatting sqref="X174:X177 X6 X75:X76 X15 X26 X38:X40 X54 X17:X18 X34:X35 X9 X20:X21 X46:X48 X42:X43 X30:X32 X58:X64 X67 X70 X84:X85 X88:X115 X120:X145 X179:X203 X50">
    <cfRule type="cellIs" dxfId="1003" priority="282" operator="equal">
      <formula>0</formula>
    </cfRule>
  </conditionalFormatting>
  <conditionalFormatting sqref="O57 Q199:R199 E30:E31 F29:G31 Q182:R182 Q114:W114 C176 K48:K49 Q174:R179 K87:L87 C187:C194 T182:W182 T199:W199 T174:W179 C28 K37:K46 K30:K31 M25:O31 M72:M74 C54:C58 T202:W203 Q202:R203 M3:O3 I57:J57 C195:D203 I3:K3 E1:G7 C21:D21 I72:J74 E8:F8 I84:M85 E62:F62 E9:G28 D146:D1048576 C180:D181 C177:D177 D1:D62 E32:G61 E63:G83 E86:G98 E84:F85 E101:G115 E99:F100 I29:J31 I32:O36 I37:I41 I25:K28 I1:O2 P1 E126:G200 E202:G1048576 C126:D145 C201:G201 Q200:W201 I44:I49 I91:M115 I138:O1048576 M37:O46 I77:J90 M86:O87 I75:M76 K88:O88 K89:M90 I120:M129 O89:O115 N89:N129 I130:N137 I4:O24 N47:O47 M48:O49 I50:O56 I58:O71 M77:M85 N72:O85 O120:O137 C121:G125 C59:D115 C120:D120 F120:G120 E116:E120">
    <cfRule type="cellIs" dxfId="1002" priority="278" operator="equal">
      <formula>"TBD"</formula>
    </cfRule>
  </conditionalFormatting>
  <conditionalFormatting sqref="Z150:AX150">
    <cfRule type="cellIs" dxfId="1001" priority="255" operator="equal">
      <formula>0</formula>
    </cfRule>
    <cfRule type="cellIs" dxfId="1000" priority="276" operator="lessThan">
      <formula>0</formula>
    </cfRule>
    <cfRule type="cellIs" dxfId="999" priority="277" operator="greaterThan">
      <formula>0</formula>
    </cfRule>
  </conditionalFormatting>
  <conditionalFormatting sqref="P158:P162">
    <cfRule type="cellIs" dxfId="998" priority="274" operator="equal">
      <formula>"no"</formula>
    </cfRule>
    <cfRule type="cellIs" dxfId="997" priority="275" operator="equal">
      <formula>"yes"</formula>
    </cfRule>
  </conditionalFormatting>
  <conditionalFormatting sqref="Z158:AK159 BB3:BB51 BB53:BB115 BB120:BB148 BB173:BB204">
    <cfRule type="cellIs" dxfId="996" priority="271" operator="lessThan">
      <formula>0</formula>
    </cfRule>
    <cfRule type="cellIs" dxfId="995" priority="272" operator="greaterThan">
      <formula>0</formula>
    </cfRule>
  </conditionalFormatting>
  <conditionalFormatting sqref="P166">
    <cfRule type="cellIs" dxfId="994" priority="269" operator="equal">
      <formula>"no"</formula>
    </cfRule>
    <cfRule type="cellIs" dxfId="993" priority="270" operator="equal">
      <formula>"yes"</formula>
    </cfRule>
  </conditionalFormatting>
  <conditionalFormatting sqref="Z166:AK166">
    <cfRule type="cellIs" dxfId="992" priority="266" operator="lessThan">
      <formula>0</formula>
    </cfRule>
    <cfRule type="cellIs" dxfId="991" priority="267" operator="greaterThan">
      <formula>0</formula>
    </cfRule>
  </conditionalFormatting>
  <conditionalFormatting sqref="P171:P204">
    <cfRule type="cellIs" dxfId="990" priority="264" operator="equal">
      <formula>"no"</formula>
    </cfRule>
    <cfRule type="cellIs" dxfId="989" priority="265" operator="equal">
      <formula>"yes"</formula>
    </cfRule>
  </conditionalFormatting>
  <conditionalFormatting sqref="Z171:AK204">
    <cfRule type="cellIs" dxfId="988" priority="261" operator="lessThan">
      <formula>0</formula>
    </cfRule>
    <cfRule type="cellIs" dxfId="987" priority="262" operator="greaterThan">
      <formula>0</formula>
    </cfRule>
  </conditionalFormatting>
  <conditionalFormatting sqref="Y150">
    <cfRule type="cellIs" dxfId="986" priority="259" operator="lessThan">
      <formula>0</formula>
    </cfRule>
    <cfRule type="cellIs" dxfId="985" priority="260" operator="greaterThan">
      <formula>0</formula>
    </cfRule>
  </conditionalFormatting>
  <conditionalFormatting sqref="Z154:AB154">
    <cfRule type="cellIs" dxfId="984" priority="256" operator="equal">
      <formula>0</formula>
    </cfRule>
    <cfRule type="cellIs" dxfId="983" priority="257" operator="lessThan">
      <formula>0</formula>
    </cfRule>
    <cfRule type="cellIs" dxfId="982" priority="258" operator="greaterThan">
      <formula>0</formula>
    </cfRule>
  </conditionalFormatting>
  <conditionalFormatting sqref="Z162:AB162">
    <cfRule type="cellIs" dxfId="981" priority="252" operator="lessThan">
      <formula>0</formula>
    </cfRule>
    <cfRule type="cellIs" dxfId="980" priority="253" operator="equal">
      <formula>0</formula>
    </cfRule>
    <cfRule type="cellIs" dxfId="979" priority="254" operator="greaterThan">
      <formula>0</formula>
    </cfRule>
  </conditionalFormatting>
  <conditionalFormatting sqref="P62 P84:P85">
    <cfRule type="cellIs" dxfId="978" priority="250" operator="equal">
      <formula>"no"</formula>
    </cfRule>
    <cfRule type="cellIs" dxfId="977" priority="251" operator="equal">
      <formula>"yes"</formula>
    </cfRule>
  </conditionalFormatting>
  <conditionalFormatting sqref="X62">
    <cfRule type="cellIs" dxfId="976" priority="249" operator="equal">
      <formula>0</formula>
    </cfRule>
  </conditionalFormatting>
  <conditionalFormatting sqref="I62:O62">
    <cfRule type="cellIs" dxfId="975" priority="248" operator="equal">
      <formula>"TBD"</formula>
    </cfRule>
  </conditionalFormatting>
  <conditionalFormatting sqref="AZ184">
    <cfRule type="cellIs" dxfId="974" priority="245" operator="lessThan">
      <formula>X184</formula>
    </cfRule>
    <cfRule type="cellIs" dxfId="973" priority="246" operator="greaterThan">
      <formula>X184</formula>
    </cfRule>
    <cfRule type="cellIs" dxfId="972" priority="247" operator="equal">
      <formula>X184</formula>
    </cfRule>
  </conditionalFormatting>
  <conditionalFormatting sqref="P122">
    <cfRule type="cellIs" dxfId="971" priority="243" operator="equal">
      <formula>"no"</formula>
    </cfRule>
    <cfRule type="cellIs" dxfId="970" priority="244" operator="equal">
      <formula>"yes"</formula>
    </cfRule>
  </conditionalFormatting>
  <conditionalFormatting sqref="M122 I122:K122 O122:O125 F123:F125">
    <cfRule type="cellIs" dxfId="969" priority="242" operator="equal">
      <formula>"TBD"</formula>
    </cfRule>
  </conditionalFormatting>
  <conditionalFormatting sqref="P125">
    <cfRule type="cellIs" dxfId="968" priority="240" operator="equal">
      <formula>"no"</formula>
    </cfRule>
    <cfRule type="cellIs" dxfId="967" priority="241" operator="equal">
      <formula>"yes"</formula>
    </cfRule>
  </conditionalFormatting>
  <conditionalFormatting sqref="M125 O125 I125:K125">
    <cfRule type="cellIs" dxfId="966" priority="239" operator="equal">
      <formula>"TBD"</formula>
    </cfRule>
  </conditionalFormatting>
  <conditionalFormatting sqref="P58:P62 P84:P85">
    <cfRule type="cellIs" dxfId="965" priority="237" operator="equal">
      <formula>"no"</formula>
    </cfRule>
    <cfRule type="cellIs" dxfId="964" priority="238" operator="equal">
      <formula>"yes"</formula>
    </cfRule>
  </conditionalFormatting>
  <conditionalFormatting sqref="I62:O62">
    <cfRule type="cellIs" dxfId="963" priority="236" operator="equal">
      <formula>"TBD"</formula>
    </cfRule>
  </conditionalFormatting>
  <conditionalFormatting sqref="E48 K48 M48:N48">
    <cfRule type="cellIs" dxfId="962" priority="235" operator="equal">
      <formula>"TBD"</formula>
    </cfRule>
  </conditionalFormatting>
  <conditionalFormatting sqref="P10:P12">
    <cfRule type="cellIs" dxfId="961" priority="233" operator="equal">
      <formula>"no"</formula>
    </cfRule>
    <cfRule type="cellIs" dxfId="960" priority="234" operator="equal">
      <formula>"yes"</formula>
    </cfRule>
  </conditionalFormatting>
  <conditionalFormatting sqref="X12">
    <cfRule type="cellIs" dxfId="959" priority="232" operator="equal">
      <formula>0</formula>
    </cfRule>
  </conditionalFormatting>
  <conditionalFormatting sqref="P23:P24">
    <cfRule type="cellIs" dxfId="958" priority="229" operator="equal">
      <formula>"no"</formula>
    </cfRule>
    <cfRule type="cellIs" dxfId="957" priority="230" operator="equal">
      <formula>"yes"</formula>
    </cfRule>
  </conditionalFormatting>
  <conditionalFormatting sqref="O57 F29:G31 E30:E31 Q114:W114 K48:K49 K87:L87 F178:G195 E179:E1048576 K37:K46 K30:K31 M25:O31 M72:M74 Q174:R199 T202:W203 Q202:R203 M3:O3 I57:J57 I25:K28 E196:G196 I3:K3 E1:G7 I72:J74 E63:G83 E62:F62 E9:G28 E8:F8 E32:G61 E84:F85 I84:M85 E99:F100 E101:G115 E86:G98 I29:J31 I32:O36 I37:I41 F197:G1048576 I1:O2 P1 E126:G177 E200:G201 C126:D1048576 Q200:W201 T174:W199 I44:I49 I91:M115 I138:O1048576 M37:O46 I77:J90 M86:O87 I75:M76 K88:O88 K89:M90 I120:M129 O89:O115 N89:N129 I130:N137 I4:O24 N47:O47 M48:O49 I50:O56 I58:O71 M77:M85 N72:O85 O120:O137 C121:G125 C1:D115 C120:D120 F120:G120 E116:E120">
    <cfRule type="containsText" dxfId="956" priority="226" operator="containsText" text="DEAD">
      <formula>NOT(ISERROR(SEARCH("DEAD",C1)))</formula>
    </cfRule>
    <cfRule type="containsText" dxfId="955" priority="227" operator="containsText" text="HOLD">
      <formula>NOT(ISERROR(SEARCH("HOLD",C1)))</formula>
    </cfRule>
  </conditionalFormatting>
  <conditionalFormatting sqref="K42 G43:G49 M42:O42">
    <cfRule type="cellIs" dxfId="954" priority="225" operator="equal">
      <formula>"TBD"</formula>
    </cfRule>
  </conditionalFormatting>
  <conditionalFormatting sqref="K39 M39:O39">
    <cfRule type="cellIs" dxfId="953" priority="224" operator="equal">
      <formula>"TBD"</formula>
    </cfRule>
  </conditionalFormatting>
  <conditionalFormatting sqref="M26:O26">
    <cfRule type="cellIs" dxfId="952" priority="223" operator="equal">
      <formula>"TBD"</formula>
    </cfRule>
  </conditionalFormatting>
  <conditionalFormatting sqref="K40:K41 M40:O41">
    <cfRule type="cellIs" dxfId="951" priority="222" operator="equal">
      <formula>"TBD"</formula>
    </cfRule>
  </conditionalFormatting>
  <conditionalFormatting sqref="K29 E29 E60:G61 E62:F62 I60:L62">
    <cfRule type="cellIs" dxfId="950" priority="221" operator="equal">
      <formula>"TBD"</formula>
    </cfRule>
  </conditionalFormatting>
  <conditionalFormatting sqref="K29 E29 E60:G61 E62:F62 I60:L62">
    <cfRule type="containsText" dxfId="949" priority="219" operator="containsText" text="DEAD">
      <formula>NOT(ISERROR(SEARCH("DEAD",E29)))</formula>
    </cfRule>
    <cfRule type="containsText" dxfId="948" priority="220" operator="containsText" text="HOLD">
      <formula>NOT(ISERROR(SEARCH("HOLD",E29)))</formula>
    </cfRule>
  </conditionalFormatting>
  <conditionalFormatting sqref="P173">
    <cfRule type="cellIs" dxfId="947" priority="217" operator="equal">
      <formula>"no"</formula>
    </cfRule>
    <cfRule type="cellIs" dxfId="946" priority="218" operator="equal">
      <formula>"yes"</formula>
    </cfRule>
  </conditionalFormatting>
  <conditionalFormatting sqref="AZ204">
    <cfRule type="cellIs" dxfId="945" priority="213" operator="lessThan">
      <formula>X204</formula>
    </cfRule>
    <cfRule type="cellIs" dxfId="944" priority="214" operator="greaterThan">
      <formula>X204</formula>
    </cfRule>
    <cfRule type="cellIs" dxfId="943" priority="215" operator="equal">
      <formula>X204</formula>
    </cfRule>
  </conditionalFormatting>
  <conditionalFormatting sqref="P204">
    <cfRule type="cellIs" dxfId="942" priority="211" operator="equal">
      <formula>"no"</formula>
    </cfRule>
    <cfRule type="cellIs" dxfId="941" priority="212" operator="equal">
      <formula>"yes"</formula>
    </cfRule>
  </conditionalFormatting>
  <conditionalFormatting sqref="Q174:R175 Q177:R182 T174:W175 T177:W182 E174:G177 I174:O177 E180:G182 I180:O182 C174:D182">
    <cfRule type="cellIs" dxfId="940" priority="209" operator="equal">
      <formula>"SOLD"</formula>
    </cfRule>
  </conditionalFormatting>
  <conditionalFormatting sqref="Q176:R176 F178:G179 T176:W176 K178:O178 I178:J179">
    <cfRule type="cellIs" dxfId="939" priority="208" operator="equal">
      <formula>"SOLD"</formula>
    </cfRule>
  </conditionalFormatting>
  <conditionalFormatting sqref="R203">
    <cfRule type="cellIs" dxfId="938" priority="207" operator="equal">
      <formula>"TBD"</formula>
    </cfRule>
  </conditionalFormatting>
  <conditionalFormatting sqref="Q186:R186">
    <cfRule type="cellIs" dxfId="937" priority="206" operator="equal">
      <formula>"TBD"</formula>
    </cfRule>
  </conditionalFormatting>
  <conditionalFormatting sqref="Q186:R186">
    <cfRule type="containsText" dxfId="936" priority="204" operator="containsText" text="DEAD">
      <formula>NOT(ISERROR(SEARCH("DEAD",Q186)))</formula>
    </cfRule>
    <cfRule type="containsText" dxfId="935" priority="205" operator="containsText" text="HOLD">
      <formula>NOT(ISERROR(SEARCH("HOLD",Q186)))</formula>
    </cfRule>
  </conditionalFormatting>
  <conditionalFormatting sqref="X72">
    <cfRule type="cellIs" dxfId="934" priority="203" operator="equal">
      <formula>0</formula>
    </cfRule>
  </conditionalFormatting>
  <conditionalFormatting sqref="K72:L72">
    <cfRule type="cellIs" dxfId="933" priority="202" operator="equal">
      <formula>"TBD"</formula>
    </cfRule>
  </conditionalFormatting>
  <conditionalFormatting sqref="K72:L72">
    <cfRule type="containsText" dxfId="932" priority="200" operator="containsText" text="DEAD">
      <formula>NOT(ISERROR(SEARCH("DEAD",K72)))</formula>
    </cfRule>
    <cfRule type="containsText" dxfId="931" priority="201" operator="containsText" text="HOLD">
      <formula>NOT(ISERROR(SEARCH("HOLD",K72)))</formula>
    </cfRule>
  </conditionalFormatting>
  <conditionalFormatting sqref="X179">
    <cfRule type="cellIs" dxfId="930" priority="199" operator="equal">
      <formula>0</formula>
    </cfRule>
  </conditionalFormatting>
  <conditionalFormatting sqref="X71">
    <cfRule type="cellIs" dxfId="929" priority="198" operator="equal">
      <formula>0</formula>
    </cfRule>
  </conditionalFormatting>
  <conditionalFormatting sqref="X73">
    <cfRule type="cellIs" dxfId="928" priority="194" operator="equal">
      <formula>0</formula>
    </cfRule>
  </conditionalFormatting>
  <conditionalFormatting sqref="K73:L73">
    <cfRule type="cellIs" dxfId="927" priority="193" operator="equal">
      <formula>"TBD"</formula>
    </cfRule>
  </conditionalFormatting>
  <conditionalFormatting sqref="K73:L73">
    <cfRule type="containsText" dxfId="926" priority="191" operator="containsText" text="DEAD">
      <formula>NOT(ISERROR(SEARCH("DEAD",K73)))</formula>
    </cfRule>
    <cfRule type="containsText" dxfId="925" priority="192" operator="containsText" text="HOLD">
      <formula>NOT(ISERROR(SEARCH("HOLD",K73)))</formula>
    </cfRule>
  </conditionalFormatting>
  <conditionalFormatting sqref="X74">
    <cfRule type="cellIs" dxfId="924" priority="190" operator="equal">
      <formula>0</formula>
    </cfRule>
  </conditionalFormatting>
  <conditionalFormatting sqref="K74:L74">
    <cfRule type="cellIs" dxfId="923" priority="189" operator="equal">
      <formula>"TBD"</formula>
    </cfRule>
  </conditionalFormatting>
  <conditionalFormatting sqref="K74:L74">
    <cfRule type="containsText" dxfId="922" priority="187" operator="containsText" text="DEAD">
      <formula>NOT(ISERROR(SEARCH("DEAD",K74)))</formula>
    </cfRule>
    <cfRule type="containsText" dxfId="921" priority="188" operator="containsText" text="HOLD">
      <formula>NOT(ISERROR(SEARCH("HOLD",K74)))</formula>
    </cfRule>
  </conditionalFormatting>
  <conditionalFormatting sqref="X77:X85">
    <cfRule type="cellIs" dxfId="920" priority="186" operator="equal">
      <formula>0</formula>
    </cfRule>
  </conditionalFormatting>
  <conditionalFormatting sqref="K77:L85">
    <cfRule type="cellIs" dxfId="919" priority="185" operator="equal">
      <formula>"TBD"</formula>
    </cfRule>
  </conditionalFormatting>
  <conditionalFormatting sqref="K77:L85">
    <cfRule type="containsText" dxfId="918" priority="183" operator="containsText" text="DEAD">
      <formula>NOT(ISERROR(SEARCH("DEAD",K77)))</formula>
    </cfRule>
    <cfRule type="containsText" dxfId="917" priority="184" operator="containsText" text="HOLD">
      <formula>NOT(ISERROR(SEARCH("HOLD",K77)))</formula>
    </cfRule>
  </conditionalFormatting>
  <conditionalFormatting sqref="K86:L86">
    <cfRule type="cellIs" dxfId="916" priority="181" operator="equal">
      <formula>"TBD"</formula>
    </cfRule>
  </conditionalFormatting>
  <conditionalFormatting sqref="K86:L86">
    <cfRule type="containsText" dxfId="915" priority="179" operator="containsText" text="DEAD">
      <formula>NOT(ISERROR(SEARCH("DEAD",K86)))</formula>
    </cfRule>
    <cfRule type="containsText" dxfId="914" priority="180" operator="containsText" text="HOLD">
      <formula>NOT(ISERROR(SEARCH("HOLD",K86)))</formula>
    </cfRule>
  </conditionalFormatting>
  <conditionalFormatting sqref="AZ57">
    <cfRule type="cellIs" dxfId="913" priority="176" operator="lessThan">
      <formula>X57</formula>
    </cfRule>
    <cfRule type="cellIs" dxfId="912" priority="177" operator="greaterThan">
      <formula>X57</formula>
    </cfRule>
    <cfRule type="cellIs" dxfId="911" priority="178" operator="equal">
      <formula>X57</formula>
    </cfRule>
  </conditionalFormatting>
  <conditionalFormatting sqref="K57:N57">
    <cfRule type="cellIs" dxfId="910" priority="174" operator="equal">
      <formula>"TBD"</formula>
    </cfRule>
  </conditionalFormatting>
  <conditionalFormatting sqref="K57:N57">
    <cfRule type="containsText" dxfId="909" priority="172" operator="containsText" text="DEAD">
      <formula>NOT(ISERROR(SEARCH("DEAD",K57)))</formula>
    </cfRule>
    <cfRule type="containsText" dxfId="908" priority="173" operator="containsText" text="HOLD">
      <formula>NOT(ISERROR(SEARCH("HOLD",K57)))</formula>
    </cfRule>
  </conditionalFormatting>
  <conditionalFormatting sqref="T181 T188:T189 T179 T26 T34 T37:T39 T30:T31 T195:T198 T42:T43 T46:T48 T67 T70:T85 T88:T115 T120:T144 T17 T6 T9 T20:T21 T58:T64">
    <cfRule type="cellIs" dxfId="907" priority="171" operator="equal">
      <formula>0</formula>
    </cfRule>
  </conditionalFormatting>
  <conditionalFormatting sqref="T102:T104">
    <cfRule type="cellIs" dxfId="906" priority="170" operator="equal">
      <formula>0</formula>
    </cfRule>
  </conditionalFormatting>
  <conditionalFormatting sqref="T124">
    <cfRule type="cellIs" dxfId="905" priority="169" operator="equal">
      <formula>0</formula>
    </cfRule>
  </conditionalFormatting>
  <conditionalFormatting sqref="T12">
    <cfRule type="cellIs" dxfId="904" priority="167" operator="equal">
      <formula>0</formula>
    </cfRule>
  </conditionalFormatting>
  <conditionalFormatting sqref="T17 T20:T21">
    <cfRule type="cellIs" dxfId="903" priority="166" operator="equal">
      <formula>0</formula>
    </cfRule>
  </conditionalFormatting>
  <conditionalFormatting sqref="P178:P179">
    <cfRule type="cellIs" dxfId="902" priority="163" operator="equal">
      <formula>"no"</formula>
    </cfRule>
    <cfRule type="cellIs" dxfId="901" priority="164" operator="equal">
      <formula>"yes"</formula>
    </cfRule>
  </conditionalFormatting>
  <conditionalFormatting sqref="E178:E179 K179:O179">
    <cfRule type="cellIs" dxfId="900" priority="162" operator="equal">
      <formula>"TBD"</formula>
    </cfRule>
  </conditionalFormatting>
  <conditionalFormatting sqref="E178:E179 K179:O179">
    <cfRule type="containsText" dxfId="899" priority="160" operator="containsText" text="DEAD">
      <formula>NOT(ISERROR(SEARCH("DEAD",E178)))</formula>
    </cfRule>
    <cfRule type="containsText" dxfId="898" priority="161" operator="containsText" text="HOLD">
      <formula>NOT(ISERROR(SEARCH("HOLD",E178)))</formula>
    </cfRule>
  </conditionalFormatting>
  <conditionalFormatting sqref="X178:X179">
    <cfRule type="cellIs" dxfId="897" priority="159" operator="equal">
      <formula>0</formula>
    </cfRule>
  </conditionalFormatting>
  <conditionalFormatting sqref="K47 M47">
    <cfRule type="cellIs" dxfId="896" priority="156" operator="equal">
      <formula>"TBD"</formula>
    </cfRule>
  </conditionalFormatting>
  <conditionalFormatting sqref="K47 M47">
    <cfRule type="containsText" dxfId="895" priority="154" operator="containsText" text="DEAD">
      <formula>NOT(ISERROR(SEARCH("DEAD",K47)))</formula>
    </cfRule>
    <cfRule type="containsText" dxfId="894" priority="155" operator="containsText" text="HOLD">
      <formula>NOT(ISERROR(SEARCH("HOLD",K47)))</formula>
    </cfRule>
  </conditionalFormatting>
  <conditionalFormatting sqref="K179:O179">
    <cfRule type="cellIs" dxfId="893" priority="153" operator="equal">
      <formula>"SOLD"</formula>
    </cfRule>
  </conditionalFormatting>
  <conditionalFormatting sqref="S199 S182 S174:S179 S202:S203">
    <cfRule type="cellIs" dxfId="892" priority="152" operator="equal">
      <formula>"TBD"</formula>
    </cfRule>
  </conditionalFormatting>
  <conditionalFormatting sqref="S174:S199 S202:S203">
    <cfRule type="containsText" dxfId="891" priority="150" operator="containsText" text="DEAD">
      <formula>NOT(ISERROR(SEARCH("DEAD",S174)))</formula>
    </cfRule>
    <cfRule type="containsText" dxfId="890" priority="151" operator="containsText" text="HOLD">
      <formula>NOT(ISERROR(SEARCH("HOLD",S174)))</formula>
    </cfRule>
  </conditionalFormatting>
  <conditionalFormatting sqref="S174:S175 S177:S182">
    <cfRule type="cellIs" dxfId="889" priority="149" operator="equal">
      <formula>"SOLD"</formula>
    </cfRule>
  </conditionalFormatting>
  <conditionalFormatting sqref="S176">
    <cfRule type="cellIs" dxfId="888" priority="148" operator="equal">
      <formula>"SOLD"</formula>
    </cfRule>
  </conditionalFormatting>
  <conditionalFormatting sqref="S203">
    <cfRule type="cellIs" dxfId="887" priority="147" operator="equal">
      <formula>"TBD"</formula>
    </cfRule>
  </conditionalFormatting>
  <conditionalFormatting sqref="S186">
    <cfRule type="cellIs" dxfId="886" priority="146" operator="equal">
      <formula>"TBD"</formula>
    </cfRule>
  </conditionalFormatting>
  <conditionalFormatting sqref="S186">
    <cfRule type="containsText" dxfId="885" priority="144" operator="containsText" text="DEAD">
      <formula>NOT(ISERROR(SEARCH("DEAD",S186)))</formula>
    </cfRule>
    <cfRule type="containsText" dxfId="884" priority="145" operator="containsText" text="HOLD">
      <formula>NOT(ISERROR(SEARCH("HOLD",S186)))</formula>
    </cfRule>
  </conditionalFormatting>
  <conditionalFormatting sqref="N62">
    <cfRule type="cellIs" dxfId="883" priority="137" operator="equal">
      <formula>"TBD"</formula>
    </cfRule>
  </conditionalFormatting>
  <conditionalFormatting sqref="J48:J49 J37:J46 I42:I43">
    <cfRule type="cellIs" dxfId="882" priority="135" operator="equal">
      <formula>"TBD"</formula>
    </cfRule>
  </conditionalFormatting>
  <conditionalFormatting sqref="J48">
    <cfRule type="cellIs" dxfId="881" priority="134" operator="equal">
      <formula>"TBD"</formula>
    </cfRule>
  </conditionalFormatting>
  <conditionalFormatting sqref="J48:J49 J37:J46 I42:I43">
    <cfRule type="containsText" dxfId="880" priority="132" operator="containsText" text="DEAD">
      <formula>NOT(ISERROR(SEARCH("DEAD",I37)))</formula>
    </cfRule>
    <cfRule type="containsText" dxfId="879" priority="133" operator="containsText" text="HOLD">
      <formula>NOT(ISERROR(SEARCH("HOLD",I37)))</formula>
    </cfRule>
  </conditionalFormatting>
  <conditionalFormatting sqref="I42:J42">
    <cfRule type="cellIs" dxfId="878" priority="131" operator="equal">
      <formula>"TBD"</formula>
    </cfRule>
  </conditionalFormatting>
  <conditionalFormatting sqref="J39">
    <cfRule type="cellIs" dxfId="877" priority="130" operator="equal">
      <formula>"TBD"</formula>
    </cfRule>
  </conditionalFormatting>
  <conditionalFormatting sqref="J40:J41">
    <cfRule type="cellIs" dxfId="876" priority="129" operator="equal">
      <formula>"TBD"</formula>
    </cfRule>
  </conditionalFormatting>
  <conditionalFormatting sqref="J47">
    <cfRule type="cellIs" dxfId="875" priority="128" operator="equal">
      <formula>"TBD"</formula>
    </cfRule>
  </conditionalFormatting>
  <conditionalFormatting sqref="J47">
    <cfRule type="containsText" dxfId="874" priority="126" operator="containsText" text="DEAD">
      <formula>NOT(ISERROR(SEARCH("DEAD",J47)))</formula>
    </cfRule>
    <cfRule type="containsText" dxfId="873" priority="127" operator="containsText" text="HOLD">
      <formula>NOT(ISERROR(SEARCH("HOLD",J47)))</formula>
    </cfRule>
  </conditionalFormatting>
  <conditionalFormatting sqref="L48:L49 L37:L46">
    <cfRule type="cellIs" dxfId="872" priority="125" operator="equal">
      <formula>"TBD"</formula>
    </cfRule>
  </conditionalFormatting>
  <conditionalFormatting sqref="L48">
    <cfRule type="cellIs" dxfId="871" priority="124" operator="equal">
      <formula>"TBD"</formula>
    </cfRule>
  </conditionalFormatting>
  <conditionalFormatting sqref="L48:L49 L37:L46">
    <cfRule type="containsText" dxfId="870" priority="122" operator="containsText" text="DEAD">
      <formula>NOT(ISERROR(SEARCH("DEAD",L37)))</formula>
    </cfRule>
    <cfRule type="containsText" dxfId="869" priority="123" operator="containsText" text="HOLD">
      <formula>NOT(ISERROR(SEARCH("HOLD",L37)))</formula>
    </cfRule>
  </conditionalFormatting>
  <conditionalFormatting sqref="L42">
    <cfRule type="cellIs" dxfId="868" priority="121" operator="equal">
      <formula>"TBD"</formula>
    </cfRule>
  </conditionalFormatting>
  <conditionalFormatting sqref="L39">
    <cfRule type="cellIs" dxfId="867" priority="120" operator="equal">
      <formula>"TBD"</formula>
    </cfRule>
  </conditionalFormatting>
  <conditionalFormatting sqref="L40:L41">
    <cfRule type="cellIs" dxfId="866" priority="119" operator="equal">
      <formula>"TBD"</formula>
    </cfRule>
  </conditionalFormatting>
  <conditionalFormatting sqref="L47">
    <cfRule type="cellIs" dxfId="865" priority="118" operator="equal">
      <formula>"TBD"</formula>
    </cfRule>
  </conditionalFormatting>
  <conditionalFormatting sqref="L47">
    <cfRule type="containsText" dxfId="864" priority="116" operator="containsText" text="DEAD">
      <formula>NOT(ISERROR(SEARCH("DEAD",L47)))</formula>
    </cfRule>
    <cfRule type="containsText" dxfId="863" priority="117" operator="containsText" text="HOLD">
      <formula>NOT(ISERROR(SEARCH("HOLD",L47)))</formula>
    </cfRule>
  </conditionalFormatting>
  <conditionalFormatting sqref="L25:L31">
    <cfRule type="cellIs" dxfId="862" priority="115" operator="equal">
      <formula>"TBD"</formula>
    </cfRule>
  </conditionalFormatting>
  <conditionalFormatting sqref="L25:L31">
    <cfRule type="containsText" dxfId="861" priority="113" operator="containsText" text="DEAD">
      <formula>NOT(ISERROR(SEARCH("DEAD",L25)))</formula>
    </cfRule>
    <cfRule type="containsText" dxfId="860" priority="114" operator="containsText" text="HOLD">
      <formula>NOT(ISERROR(SEARCH("HOLD",L25)))</formula>
    </cfRule>
  </conditionalFormatting>
  <conditionalFormatting sqref="L26">
    <cfRule type="cellIs" dxfId="859" priority="112" operator="equal">
      <formula>"TBD"</formula>
    </cfRule>
  </conditionalFormatting>
  <conditionalFormatting sqref="L3">
    <cfRule type="cellIs" dxfId="858" priority="111" operator="equal">
      <formula>"TBD"</formula>
    </cfRule>
  </conditionalFormatting>
  <conditionalFormatting sqref="L122">
    <cfRule type="cellIs" dxfId="857" priority="110" operator="equal">
      <formula>"TBD"</formula>
    </cfRule>
  </conditionalFormatting>
  <conditionalFormatting sqref="L125">
    <cfRule type="cellIs" dxfId="856" priority="109" operator="equal">
      <formula>"TBD"</formula>
    </cfRule>
  </conditionalFormatting>
  <conditionalFormatting sqref="L3">
    <cfRule type="containsText" dxfId="855" priority="107" operator="containsText" text="DEAD">
      <formula>NOT(ISERROR(SEARCH("DEAD",L3)))</formula>
    </cfRule>
    <cfRule type="containsText" dxfId="854" priority="108" operator="containsText" text="HOLD">
      <formula>NOT(ISERROR(SEARCH("HOLD",L3)))</formula>
    </cfRule>
  </conditionalFormatting>
  <conditionalFormatting sqref="G196 G9 G56:G61 G21 G63:G83 G86:G98 G101:G115 I21 I56:I115 I196 I120:I145 G120:G145 G200:G201 I200:O201 U200:W201">
    <cfRule type="cellIs" dxfId="853" priority="101" operator="equal">
      <formula>"No"</formula>
    </cfRule>
  </conditionalFormatting>
  <conditionalFormatting sqref="G53 G37:G51">
    <cfRule type="cellIs" dxfId="852" priority="100" operator="equal">
      <formula>"No"</formula>
    </cfRule>
  </conditionalFormatting>
  <conditionalFormatting sqref="P123">
    <cfRule type="cellIs" dxfId="851" priority="96" operator="equal">
      <formula>"no"</formula>
    </cfRule>
    <cfRule type="cellIs" dxfId="850" priority="97" operator="equal">
      <formula>"yes"</formula>
    </cfRule>
  </conditionalFormatting>
  <conditionalFormatting sqref="P123">
    <cfRule type="cellIs" dxfId="849" priority="94" operator="equal">
      <formula>"no"</formula>
    </cfRule>
    <cfRule type="cellIs" dxfId="848" priority="95" operator="equal">
      <formula>"yes"</formula>
    </cfRule>
  </conditionalFormatting>
  <conditionalFormatting sqref="P52">
    <cfRule type="cellIs" dxfId="847" priority="89" operator="equal">
      <formula>"no"</formula>
    </cfRule>
    <cfRule type="cellIs" dxfId="846" priority="90" operator="equal">
      <formula>"yes"</formula>
    </cfRule>
  </conditionalFormatting>
  <conditionalFormatting sqref="BB52">
    <cfRule type="cellIs" dxfId="845" priority="86" operator="lessThan">
      <formula>0</formula>
    </cfRule>
    <cfRule type="cellIs" dxfId="844" priority="87" operator="greaterThan">
      <formula>0</formula>
    </cfRule>
  </conditionalFormatting>
  <conditionalFormatting sqref="G52">
    <cfRule type="cellIs" dxfId="843" priority="83" operator="equal">
      <formula>"No"</formula>
    </cfRule>
  </conditionalFormatting>
  <conditionalFormatting sqref="AZ59:AZ62 AZ41 AZ184:AZ203">
    <cfRule type="cellIs" dxfId="842" priority="493" operator="greaterThan">
      <formula>$X$114</formula>
    </cfRule>
    <cfRule type="cellIs" dxfId="841" priority="494" operator="lessThan">
      <formula>$X$114</formula>
    </cfRule>
    <cfRule type="cellIs" dxfId="840" priority="495" operator="equal">
      <formula>$X$114</formula>
    </cfRule>
    <cfRule type="cellIs" dxfId="839" priority="496" operator="equal">
      <formula>$Y$114</formula>
    </cfRule>
  </conditionalFormatting>
  <conditionalFormatting sqref="G62">
    <cfRule type="cellIs" dxfId="838" priority="81" operator="equal">
      <formula>"no"</formula>
    </cfRule>
    <cfRule type="cellIs" dxfId="837" priority="82" operator="equal">
      <formula>"yes"</formula>
    </cfRule>
  </conditionalFormatting>
  <conditionalFormatting sqref="G62">
    <cfRule type="cellIs" dxfId="836" priority="79" operator="equal">
      <formula>"no"</formula>
    </cfRule>
    <cfRule type="cellIs" dxfId="835" priority="80" operator="equal">
      <formula>"yes"</formula>
    </cfRule>
  </conditionalFormatting>
  <conditionalFormatting sqref="G62">
    <cfRule type="cellIs" dxfId="834" priority="77" operator="equal">
      <formula>"no"</formula>
    </cfRule>
    <cfRule type="cellIs" dxfId="833" priority="78" operator="equal">
      <formula>"yes"</formula>
    </cfRule>
  </conditionalFormatting>
  <conditionalFormatting sqref="G8">
    <cfRule type="cellIs" dxfId="832" priority="75" operator="equal">
      <formula>"no"</formula>
    </cfRule>
    <cfRule type="cellIs" dxfId="831" priority="76" operator="equal">
      <formula>"yes"</formula>
    </cfRule>
  </conditionalFormatting>
  <conditionalFormatting sqref="G84:G85">
    <cfRule type="cellIs" dxfId="830" priority="73" operator="equal">
      <formula>"no"</formula>
    </cfRule>
    <cfRule type="cellIs" dxfId="829" priority="74" operator="equal">
      <formula>"yes"</formula>
    </cfRule>
  </conditionalFormatting>
  <conditionalFormatting sqref="G84:G85">
    <cfRule type="cellIs" dxfId="828" priority="71" operator="equal">
      <formula>"no"</formula>
    </cfRule>
    <cfRule type="cellIs" dxfId="827" priority="72" operator="equal">
      <formula>"yes"</formula>
    </cfRule>
  </conditionalFormatting>
  <conditionalFormatting sqref="G84:G85">
    <cfRule type="cellIs" dxfId="826" priority="69" operator="equal">
      <formula>"no"</formula>
    </cfRule>
    <cfRule type="cellIs" dxfId="825" priority="70" operator="equal">
      <formula>"yes"</formula>
    </cfRule>
  </conditionalFormatting>
  <conditionalFormatting sqref="G99:G100">
    <cfRule type="cellIs" dxfId="824" priority="67" operator="equal">
      <formula>"no"</formula>
    </cfRule>
    <cfRule type="cellIs" dxfId="823" priority="68" operator="equal">
      <formula>"yes"</formula>
    </cfRule>
  </conditionalFormatting>
  <conditionalFormatting sqref="G99:G100">
    <cfRule type="cellIs" dxfId="822" priority="65" operator="equal">
      <formula>"no"</formula>
    </cfRule>
    <cfRule type="cellIs" dxfId="821" priority="66" operator="equal">
      <formula>"yes"</formula>
    </cfRule>
  </conditionalFormatting>
  <conditionalFormatting sqref="G99:G100">
    <cfRule type="cellIs" dxfId="820" priority="63" operator="equal">
      <formula>"no"</formula>
    </cfRule>
    <cfRule type="cellIs" dxfId="819" priority="64" operator="equal">
      <formula>"yes"</formula>
    </cfRule>
  </conditionalFormatting>
  <conditionalFormatting sqref="AZ108">
    <cfRule type="cellIs" dxfId="818" priority="60" operator="lessThan">
      <formula>X108</formula>
    </cfRule>
    <cfRule type="cellIs" dxfId="817" priority="61" operator="greaterThan">
      <formula>X108</formula>
    </cfRule>
    <cfRule type="cellIs" dxfId="816" priority="62" operator="equal">
      <formula>X108</formula>
    </cfRule>
  </conditionalFormatting>
  <conditionalFormatting sqref="AZ110">
    <cfRule type="cellIs" dxfId="815" priority="57" operator="lessThan">
      <formula>X110</formula>
    </cfRule>
    <cfRule type="cellIs" dxfId="814" priority="58" operator="greaterThan">
      <formula>X110</formula>
    </cfRule>
    <cfRule type="cellIs" dxfId="813" priority="59" operator="equal">
      <formula>X110</formula>
    </cfRule>
  </conditionalFormatting>
  <conditionalFormatting sqref="AZ115">
    <cfRule type="cellIs" dxfId="812" priority="54" operator="lessThan">
      <formula>X115</formula>
    </cfRule>
    <cfRule type="cellIs" dxfId="811" priority="55" operator="greaterThan">
      <formula>X115</formula>
    </cfRule>
    <cfRule type="cellIs" dxfId="810" priority="56" operator="equal">
      <formula>X115</formula>
    </cfRule>
  </conditionalFormatting>
  <conditionalFormatting sqref="AZ118">
    <cfRule type="cellIs" dxfId="809" priority="51" operator="lessThan">
      <formula>X118</formula>
    </cfRule>
    <cfRule type="cellIs" dxfId="808" priority="52" operator="greaterThan">
      <formula>X118</formula>
    </cfRule>
    <cfRule type="cellIs" dxfId="807" priority="53" operator="equal">
      <formula>X118</formula>
    </cfRule>
  </conditionalFormatting>
  <conditionalFormatting sqref="P118">
    <cfRule type="cellIs" dxfId="806" priority="49" operator="equal">
      <formula>"no"</formula>
    </cfRule>
    <cfRule type="cellIs" dxfId="805" priority="50" operator="equal">
      <formula>"yes"</formula>
    </cfRule>
  </conditionalFormatting>
  <conditionalFormatting sqref="X118">
    <cfRule type="cellIs" dxfId="804" priority="48" operator="equal">
      <formula>0</formula>
    </cfRule>
  </conditionalFormatting>
  <conditionalFormatting sqref="C118:D118 I118:M118 O118 F118:G118">
    <cfRule type="cellIs" dxfId="803" priority="47" operator="equal">
      <formula>"TBD"</formula>
    </cfRule>
  </conditionalFormatting>
  <conditionalFormatting sqref="BB118">
    <cfRule type="cellIs" dxfId="802" priority="45" operator="lessThan">
      <formula>0</formula>
    </cfRule>
    <cfRule type="cellIs" dxfId="801" priority="46" operator="greaterThan">
      <formula>0</formula>
    </cfRule>
  </conditionalFormatting>
  <conditionalFormatting sqref="C118:D118 I118:M118 O118 F118:G118">
    <cfRule type="containsText" dxfId="800" priority="43" operator="containsText" text="DEAD">
      <formula>NOT(ISERROR(SEARCH("DEAD",C118)))</formula>
    </cfRule>
    <cfRule type="containsText" dxfId="799" priority="44" operator="containsText" text="HOLD">
      <formula>NOT(ISERROR(SEARCH("HOLD",C118)))</formula>
    </cfRule>
  </conditionalFormatting>
  <conditionalFormatting sqref="T118">
    <cfRule type="cellIs" dxfId="798" priority="42" operator="equal">
      <formula>0</formula>
    </cfRule>
  </conditionalFormatting>
  <conditionalFormatting sqref="G118 I118">
    <cfRule type="cellIs" dxfId="797" priority="41" operator="equal">
      <formula>"No"</formula>
    </cfRule>
  </conditionalFormatting>
  <conditionalFormatting sqref="AZ117">
    <cfRule type="cellIs" dxfId="796" priority="38" operator="lessThan">
      <formula>X117</formula>
    </cfRule>
    <cfRule type="cellIs" dxfId="795" priority="39" operator="greaterThan">
      <formula>X117</formula>
    </cfRule>
    <cfRule type="cellIs" dxfId="794" priority="40" operator="equal">
      <formula>X117</formula>
    </cfRule>
  </conditionalFormatting>
  <conditionalFormatting sqref="P117">
    <cfRule type="cellIs" dxfId="793" priority="36" operator="equal">
      <formula>"no"</formula>
    </cfRule>
    <cfRule type="cellIs" dxfId="792" priority="37" operator="equal">
      <formula>"yes"</formula>
    </cfRule>
  </conditionalFormatting>
  <conditionalFormatting sqref="X117">
    <cfRule type="cellIs" dxfId="791" priority="35" operator="equal">
      <formula>0</formula>
    </cfRule>
  </conditionalFormatting>
  <conditionalFormatting sqref="C117:D117 I117:M117 O117 F117:G117">
    <cfRule type="cellIs" dxfId="790" priority="34" operator="equal">
      <formula>"TBD"</formula>
    </cfRule>
  </conditionalFormatting>
  <conditionalFormatting sqref="BB117">
    <cfRule type="cellIs" dxfId="789" priority="32" operator="lessThan">
      <formula>0</formula>
    </cfRule>
    <cfRule type="cellIs" dxfId="788" priority="33" operator="greaterThan">
      <formula>0</formula>
    </cfRule>
  </conditionalFormatting>
  <conditionalFormatting sqref="C117:D117 I117:M117 O117 F117:G117">
    <cfRule type="containsText" dxfId="787" priority="30" operator="containsText" text="DEAD">
      <formula>NOT(ISERROR(SEARCH("DEAD",C117)))</formula>
    </cfRule>
    <cfRule type="containsText" dxfId="786" priority="31" operator="containsText" text="HOLD">
      <formula>NOT(ISERROR(SEARCH("HOLD",C117)))</formula>
    </cfRule>
  </conditionalFormatting>
  <conditionalFormatting sqref="T117">
    <cfRule type="cellIs" dxfId="785" priority="29" operator="equal">
      <formula>0</formula>
    </cfRule>
  </conditionalFormatting>
  <conditionalFormatting sqref="I117 G117">
    <cfRule type="cellIs" dxfId="784" priority="28" operator="equal">
      <formula>"No"</formula>
    </cfRule>
  </conditionalFormatting>
  <conditionalFormatting sqref="AZ116">
    <cfRule type="cellIs" dxfId="783" priority="25" operator="lessThan">
      <formula>X116</formula>
    </cfRule>
    <cfRule type="cellIs" dxfId="782" priority="26" operator="greaterThan">
      <formula>X116</formula>
    </cfRule>
    <cfRule type="cellIs" dxfId="781" priority="27" operator="equal">
      <formula>X116</formula>
    </cfRule>
  </conditionalFormatting>
  <conditionalFormatting sqref="P116">
    <cfRule type="cellIs" dxfId="780" priority="23" operator="equal">
      <formula>"no"</formula>
    </cfRule>
    <cfRule type="cellIs" dxfId="779" priority="24" operator="equal">
      <formula>"yes"</formula>
    </cfRule>
  </conditionalFormatting>
  <conditionalFormatting sqref="X116">
    <cfRule type="cellIs" dxfId="778" priority="22" operator="equal">
      <formula>0</formula>
    </cfRule>
  </conditionalFormatting>
  <conditionalFormatting sqref="C116:D116 I116:M116 O116 F116:G116">
    <cfRule type="cellIs" dxfId="777" priority="21" operator="equal">
      <formula>"TBD"</formula>
    </cfRule>
  </conditionalFormatting>
  <conditionalFormatting sqref="BB116">
    <cfRule type="cellIs" dxfId="776" priority="19" operator="lessThan">
      <formula>0</formula>
    </cfRule>
    <cfRule type="cellIs" dxfId="775" priority="20" operator="greaterThan">
      <formula>0</formula>
    </cfRule>
  </conditionalFormatting>
  <conditionalFormatting sqref="C116:D116 I116:M116 O116 F116:G116">
    <cfRule type="containsText" dxfId="774" priority="17" operator="containsText" text="DEAD">
      <formula>NOT(ISERROR(SEARCH("DEAD",C116)))</formula>
    </cfRule>
    <cfRule type="containsText" dxfId="773" priority="18" operator="containsText" text="HOLD">
      <formula>NOT(ISERROR(SEARCH("HOLD",C116)))</formula>
    </cfRule>
  </conditionalFormatting>
  <conditionalFormatting sqref="T116">
    <cfRule type="cellIs" dxfId="772" priority="16" operator="equal">
      <formula>0</formula>
    </cfRule>
  </conditionalFormatting>
  <conditionalFormatting sqref="G116 I116">
    <cfRule type="cellIs" dxfId="771" priority="15" operator="equal">
      <formula>"No"</formula>
    </cfRule>
  </conditionalFormatting>
  <conditionalFormatting sqref="AZ119">
    <cfRule type="cellIs" dxfId="770" priority="12" operator="lessThan">
      <formula>X119</formula>
    </cfRule>
    <cfRule type="cellIs" dxfId="769" priority="13" operator="greaterThan">
      <formula>X119</formula>
    </cfRule>
    <cfRule type="cellIs" dxfId="768" priority="14" operator="equal">
      <formula>X119</formula>
    </cfRule>
  </conditionalFormatting>
  <conditionalFormatting sqref="P119">
    <cfRule type="cellIs" dxfId="767" priority="10" operator="equal">
      <formula>"no"</formula>
    </cfRule>
    <cfRule type="cellIs" dxfId="766" priority="11" operator="equal">
      <formula>"yes"</formula>
    </cfRule>
  </conditionalFormatting>
  <conditionalFormatting sqref="X119">
    <cfRule type="cellIs" dxfId="765" priority="9" operator="equal">
      <formula>0</formula>
    </cfRule>
  </conditionalFormatting>
  <conditionalFormatting sqref="C119:D119 I119:M119 O119 F119:G119">
    <cfRule type="cellIs" dxfId="764" priority="8" operator="equal">
      <formula>"TBD"</formula>
    </cfRule>
  </conditionalFormatting>
  <conditionalFormatting sqref="BB119">
    <cfRule type="cellIs" dxfId="763" priority="6" operator="lessThan">
      <formula>0</formula>
    </cfRule>
    <cfRule type="cellIs" dxfId="762" priority="7" operator="greaterThan">
      <formula>0</formula>
    </cfRule>
  </conditionalFormatting>
  <conditionalFormatting sqref="C119:D119 I119:M119 O119 F119:G119">
    <cfRule type="containsText" dxfId="761" priority="4" operator="containsText" text="DEAD">
      <formula>NOT(ISERROR(SEARCH("DEAD",C119)))</formula>
    </cfRule>
    <cfRule type="containsText" dxfId="760" priority="5" operator="containsText" text="HOLD">
      <formula>NOT(ISERROR(SEARCH("HOLD",C119)))</formula>
    </cfRule>
  </conditionalFormatting>
  <conditionalFormatting sqref="T119">
    <cfRule type="cellIs" dxfId="759" priority="3" operator="equal">
      <formula>0</formula>
    </cfRule>
  </conditionalFormatting>
  <conditionalFormatting sqref="I119 G119">
    <cfRule type="cellIs" dxfId="758" priority="2" operator="equal">
      <formula>"No"</formula>
    </cfRule>
  </conditionalFormatting>
  <pageMargins left="0.2" right="0.25" top="0.75" bottom="0.75" header="0.3" footer="0.3"/>
  <pageSetup paperSize="5" orientation="portrait" r:id="rId1"/>
  <ignoredErrors>
    <ignoredError sqref="M115 M89" formula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40E11-61FF-4873-A9FE-40198335FF64}">
  <dimension ref="A1:AU176"/>
  <sheetViews>
    <sheetView zoomScaleNormal="100" zoomScaleSheetLayoutView="85" workbookViewId="0">
      <pane xSplit="2" ySplit="2" topLeftCell="AM3" activePane="bottomRight" state="frozen"/>
      <selection pane="topRight" activeCell="C1" sqref="C1"/>
      <selection pane="bottomLeft" activeCell="A3" sqref="A3"/>
      <selection pane="bottomRight" activeCell="AT78" sqref="AT78"/>
    </sheetView>
  </sheetViews>
  <sheetFormatPr defaultRowHeight="15" x14ac:dyDescent="0.25"/>
  <cols>
    <col min="1" max="1" width="12.42578125" customWidth="1"/>
    <col min="2" max="2" width="49" bestFit="1" customWidth="1"/>
    <col min="3" max="3" width="14.5703125" style="74" customWidth="1"/>
    <col min="4" max="4" width="14.5703125" style="445" customWidth="1"/>
    <col min="5" max="5" width="14.5703125" style="470" customWidth="1"/>
    <col min="6" max="6" width="46.5703125" customWidth="1"/>
    <col min="7" max="8" width="16.5703125" style="74" customWidth="1"/>
    <col min="9" max="9" width="36.5703125" style="74" customWidth="1"/>
    <col min="10" max="10" width="14.5703125" style="74" customWidth="1"/>
    <col min="11" max="11" width="13.5703125" style="74" customWidth="1"/>
    <col min="12" max="12" width="13.5703125" style="74" hidden="1" customWidth="1"/>
    <col min="13" max="13" width="13.5703125" style="295" customWidth="1"/>
    <col min="14" max="14" width="13.5703125" style="295" hidden="1" customWidth="1"/>
    <col min="15" max="15" width="13.5703125" style="295" customWidth="1"/>
    <col min="16" max="16" width="13.5703125" style="296" hidden="1" customWidth="1"/>
    <col min="17" max="17" width="13.5703125" style="295" hidden="1" customWidth="1"/>
    <col min="18" max="18" width="13.5703125" style="296" customWidth="1"/>
    <col min="19" max="19" width="11.5703125" style="74" customWidth="1"/>
    <col min="20" max="20" width="13.5703125" style="74" customWidth="1"/>
    <col min="21" max="21" width="12.5703125" style="74" customWidth="1"/>
    <col min="22" max="22" width="12.5703125" style="296" customWidth="1"/>
    <col min="23" max="26" width="16.5703125" style="38" customWidth="1"/>
    <col min="27" max="27" width="18.5703125" style="78" customWidth="1"/>
    <col min="28" max="28" width="19.5703125" style="277" customWidth="1"/>
    <col min="29" max="40" width="18.42578125" style="277" customWidth="1"/>
    <col min="41" max="41" width="16.5703125" style="78" customWidth="1"/>
    <col min="42" max="42" width="3.42578125" style="79" customWidth="1"/>
    <col min="43" max="43" width="17.42578125" style="78" customWidth="1"/>
    <col min="44" max="44" width="3.42578125" style="79" customWidth="1"/>
    <col min="45" max="45" width="17.5703125" style="361" customWidth="1"/>
    <col min="46" max="46" width="76.5703125" customWidth="1"/>
    <col min="47" max="47" width="10.5703125" bestFit="1" customWidth="1"/>
  </cols>
  <sheetData>
    <row r="1" spans="1:47" s="36" customFormat="1" ht="20.100000000000001" customHeight="1" x14ac:dyDescent="0.25">
      <c r="A1" s="437" t="s">
        <v>858</v>
      </c>
      <c r="B1" s="437" t="s">
        <v>453</v>
      </c>
      <c r="C1" s="437" t="s">
        <v>455</v>
      </c>
      <c r="D1" s="437" t="s">
        <v>859</v>
      </c>
      <c r="E1" s="437" t="s">
        <v>908</v>
      </c>
      <c r="F1" s="437" t="s">
        <v>454</v>
      </c>
      <c r="G1" s="437" t="s">
        <v>455</v>
      </c>
      <c r="H1" s="437" t="s">
        <v>457</v>
      </c>
      <c r="I1" s="437" t="s">
        <v>454</v>
      </c>
      <c r="J1" s="437" t="s">
        <v>857</v>
      </c>
      <c r="K1" s="437" t="s">
        <v>857</v>
      </c>
      <c r="L1" s="437" t="s">
        <v>457</v>
      </c>
      <c r="M1" s="318" t="s">
        <v>457</v>
      </c>
      <c r="N1" s="318" t="s">
        <v>457</v>
      </c>
      <c r="O1" s="318" t="s">
        <v>457</v>
      </c>
      <c r="P1" s="331" t="s">
        <v>908</v>
      </c>
      <c r="Q1" s="318" t="s">
        <v>457</v>
      </c>
      <c r="R1" s="318" t="s">
        <v>457</v>
      </c>
      <c r="S1" s="318" t="s">
        <v>457</v>
      </c>
      <c r="T1" s="437" t="s">
        <v>455</v>
      </c>
      <c r="U1" s="437" t="s">
        <v>455</v>
      </c>
      <c r="V1" s="331" t="s">
        <v>455</v>
      </c>
      <c r="W1" s="331" t="s">
        <v>455</v>
      </c>
      <c r="X1" s="331" t="s">
        <v>453</v>
      </c>
      <c r="Y1" s="331" t="s">
        <v>453</v>
      </c>
      <c r="Z1" s="438" t="s">
        <v>457</v>
      </c>
      <c r="AA1" s="438" t="s">
        <v>457</v>
      </c>
      <c r="AB1" s="456"/>
      <c r="AC1" s="530">
        <v>2022</v>
      </c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282">
        <v>2023</v>
      </c>
      <c r="AP1" s="42"/>
      <c r="AQ1" s="41"/>
      <c r="AR1" s="42"/>
      <c r="AS1" s="357"/>
    </row>
    <row r="2" spans="1:47" s="292" customFormat="1" ht="47.25" x14ac:dyDescent="0.25">
      <c r="A2" s="284" t="s">
        <v>614</v>
      </c>
      <c r="B2" s="285" t="s">
        <v>613</v>
      </c>
      <c r="C2" s="286" t="s">
        <v>342</v>
      </c>
      <c r="D2" s="286" t="s">
        <v>343</v>
      </c>
      <c r="E2" s="419" t="s">
        <v>888</v>
      </c>
      <c r="F2" s="285" t="s">
        <v>612</v>
      </c>
      <c r="G2" s="286" t="s">
        <v>12</v>
      </c>
      <c r="H2" s="286" t="s">
        <v>792</v>
      </c>
      <c r="I2" s="419" t="s">
        <v>801</v>
      </c>
      <c r="J2" s="419" t="s">
        <v>889</v>
      </c>
      <c r="K2" s="286" t="s">
        <v>796</v>
      </c>
      <c r="L2" s="286" t="s">
        <v>780</v>
      </c>
      <c r="M2" s="294" t="s">
        <v>781</v>
      </c>
      <c r="N2" s="286" t="s">
        <v>782</v>
      </c>
      <c r="O2" s="294" t="s">
        <v>783</v>
      </c>
      <c r="P2" s="287" t="s">
        <v>907</v>
      </c>
      <c r="Q2" s="286" t="s">
        <v>861</v>
      </c>
      <c r="R2" s="287" t="s">
        <v>785</v>
      </c>
      <c r="S2" s="286" t="s">
        <v>620</v>
      </c>
      <c r="T2" s="286" t="s">
        <v>345</v>
      </c>
      <c r="U2" s="286" t="s">
        <v>346</v>
      </c>
      <c r="V2" s="287" t="s">
        <v>899</v>
      </c>
      <c r="W2" s="287" t="s">
        <v>898</v>
      </c>
      <c r="X2" s="287" t="s">
        <v>644</v>
      </c>
      <c r="Y2" s="287" t="s">
        <v>645</v>
      </c>
      <c r="Z2" s="287" t="s">
        <v>860</v>
      </c>
      <c r="AA2" s="82" t="s">
        <v>802</v>
      </c>
      <c r="AB2" s="288" t="s">
        <v>870</v>
      </c>
      <c r="AC2" s="82" t="s">
        <v>749</v>
      </c>
      <c r="AD2" s="82" t="s">
        <v>750</v>
      </c>
      <c r="AE2" s="82" t="s">
        <v>751</v>
      </c>
      <c r="AF2" s="82" t="s">
        <v>752</v>
      </c>
      <c r="AG2" s="82" t="s">
        <v>753</v>
      </c>
      <c r="AH2" s="82" t="s">
        <v>754</v>
      </c>
      <c r="AI2" s="82" t="s">
        <v>755</v>
      </c>
      <c r="AJ2" s="82" t="s">
        <v>756</v>
      </c>
      <c r="AK2" s="82" t="s">
        <v>758</v>
      </c>
      <c r="AL2" s="82" t="s">
        <v>757</v>
      </c>
      <c r="AM2" s="82" t="s">
        <v>759</v>
      </c>
      <c r="AN2" s="82" t="s">
        <v>760</v>
      </c>
      <c r="AO2" s="289" t="s">
        <v>628</v>
      </c>
      <c r="AP2" s="290"/>
      <c r="AQ2" s="82" t="s">
        <v>365</v>
      </c>
      <c r="AR2" s="290"/>
      <c r="AS2" s="358" t="s">
        <v>366</v>
      </c>
      <c r="AT2" s="291" t="s">
        <v>547</v>
      </c>
    </row>
    <row r="3" spans="1:47" s="36" customFormat="1" ht="15.75" x14ac:dyDescent="0.25">
      <c r="A3" s="381" t="s">
        <v>27</v>
      </c>
      <c r="B3" s="106"/>
      <c r="C3" s="102" t="s">
        <v>886</v>
      </c>
      <c r="D3" s="102"/>
      <c r="E3" s="102"/>
      <c r="F3" s="381"/>
      <c r="G3" s="102"/>
      <c r="H3" s="102"/>
      <c r="I3" s="102"/>
      <c r="J3" s="102"/>
      <c r="K3" s="102"/>
      <c r="L3" s="102"/>
      <c r="M3" s="276"/>
      <c r="N3" s="276"/>
      <c r="O3" s="276"/>
      <c r="P3" s="84"/>
      <c r="Q3" s="276"/>
      <c r="R3" s="84"/>
      <c r="S3" s="102"/>
      <c r="T3" s="102"/>
      <c r="U3" s="102"/>
      <c r="V3" s="84"/>
      <c r="W3" s="102"/>
      <c r="X3" s="102"/>
      <c r="Y3" s="102"/>
      <c r="Z3" s="102"/>
      <c r="AA3" s="102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47"/>
      <c r="AQ3" s="103"/>
      <c r="AR3" s="51"/>
      <c r="AS3" s="357"/>
    </row>
    <row r="4" spans="1:47" s="36" customFormat="1" ht="15.75" x14ac:dyDescent="0.25">
      <c r="A4" s="34" t="s">
        <v>166</v>
      </c>
      <c r="B4" s="35" t="s">
        <v>168</v>
      </c>
      <c r="C4" s="298" t="s">
        <v>886</v>
      </c>
      <c r="D4" s="298" t="s">
        <v>401</v>
      </c>
      <c r="E4" s="464" t="s">
        <v>24</v>
      </c>
      <c r="F4" s="417" t="s">
        <v>169</v>
      </c>
      <c r="G4" s="298" t="s">
        <v>46</v>
      </c>
      <c r="H4" s="87" t="s">
        <v>370</v>
      </c>
      <c r="I4" s="464" t="s">
        <v>808</v>
      </c>
      <c r="J4" s="464"/>
      <c r="K4" s="329" t="s">
        <v>370</v>
      </c>
      <c r="L4" s="298">
        <v>44243</v>
      </c>
      <c r="M4" s="329">
        <v>44243</v>
      </c>
      <c r="N4" s="298">
        <v>44302</v>
      </c>
      <c r="O4" s="329">
        <v>44302</v>
      </c>
      <c r="P4" s="346" t="e">
        <f>O4-K4</f>
        <v>#VALUE!</v>
      </c>
      <c r="Q4" s="301">
        <f t="shared" ref="Q4:Q13" si="0">N4-L4</f>
        <v>59</v>
      </c>
      <c r="R4" s="346">
        <f t="shared" ref="R4:R13" si="1">O4-M4</f>
        <v>59</v>
      </c>
      <c r="S4" s="52" t="s">
        <v>370</v>
      </c>
      <c r="T4" s="329">
        <v>44319</v>
      </c>
      <c r="U4" s="298">
        <v>44571</v>
      </c>
      <c r="V4" s="301">
        <v>8.3720930232558146</v>
      </c>
      <c r="W4" s="301">
        <f t="shared" ref="W4:W13" si="2">((U4-T4)/7)/4.3</f>
        <v>8.3720930232558146</v>
      </c>
      <c r="X4" s="301"/>
      <c r="Y4" s="301"/>
      <c r="Z4" s="50" t="s">
        <v>370</v>
      </c>
      <c r="AA4" s="182">
        <v>1181869.7</v>
      </c>
      <c r="AB4" s="211">
        <v>1013323.8300000001</v>
      </c>
      <c r="AC4" s="115">
        <v>59705.08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3"/>
      <c r="AP4" s="47"/>
      <c r="AQ4" s="53">
        <f t="shared" ref="AQ4:AQ13" si="3">SUM(AB4:AP4)</f>
        <v>1073028.9100000001</v>
      </c>
      <c r="AR4" s="51"/>
      <c r="AS4" s="359">
        <f t="shared" ref="AS4:AS14" si="4">AQ4-AA4</f>
        <v>-108840.7899999998</v>
      </c>
      <c r="AT4" s="36" t="s">
        <v>748</v>
      </c>
    </row>
    <row r="5" spans="1:47" s="36" customFormat="1" ht="15.75" x14ac:dyDescent="0.25">
      <c r="A5" s="319" t="s">
        <v>170</v>
      </c>
      <c r="B5" s="320" t="s">
        <v>621</v>
      </c>
      <c r="C5" s="321" t="s">
        <v>886</v>
      </c>
      <c r="D5" s="321" t="s">
        <v>402</v>
      </c>
      <c r="E5" s="428" t="s">
        <v>24</v>
      </c>
      <c r="F5" s="370" t="s">
        <v>172</v>
      </c>
      <c r="G5" s="321" t="s">
        <v>46</v>
      </c>
      <c r="H5" s="87" t="s">
        <v>370</v>
      </c>
      <c r="I5" s="428" t="s">
        <v>173</v>
      </c>
      <c r="J5" s="428"/>
      <c r="K5" s="332" t="s">
        <v>370</v>
      </c>
      <c r="L5" s="339">
        <v>44201</v>
      </c>
      <c r="M5" s="332">
        <v>44201</v>
      </c>
      <c r="N5" s="339">
        <v>44302</v>
      </c>
      <c r="O5" s="332">
        <v>44302</v>
      </c>
      <c r="P5" s="343" t="e">
        <f t="shared" ref="P5:P13" si="5">O5-K5</f>
        <v>#VALUE!</v>
      </c>
      <c r="Q5" s="371">
        <f t="shared" si="0"/>
        <v>101</v>
      </c>
      <c r="R5" s="343">
        <f t="shared" si="1"/>
        <v>101</v>
      </c>
      <c r="S5" s="339" t="s">
        <v>370</v>
      </c>
      <c r="T5" s="332">
        <v>44415</v>
      </c>
      <c r="U5" s="332">
        <v>44586</v>
      </c>
      <c r="V5" s="322">
        <v>5.1827242524916945</v>
      </c>
      <c r="W5" s="322">
        <f t="shared" si="2"/>
        <v>5.6810631229235877</v>
      </c>
      <c r="X5" s="322"/>
      <c r="Y5" s="322"/>
      <c r="Z5" s="322" t="s">
        <v>370</v>
      </c>
      <c r="AA5" s="323">
        <v>1051400.45</v>
      </c>
      <c r="AB5" s="211">
        <v>987033.51</v>
      </c>
      <c r="AC5" s="115">
        <v>64366.94</v>
      </c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3"/>
      <c r="AP5" s="47"/>
      <c r="AQ5" s="53">
        <f t="shared" si="3"/>
        <v>1051400.45</v>
      </c>
      <c r="AR5" s="51"/>
      <c r="AS5" s="359">
        <f t="shared" si="4"/>
        <v>0</v>
      </c>
      <c r="AU5" s="55"/>
    </row>
    <row r="6" spans="1:47" s="36" customFormat="1" ht="15.75" x14ac:dyDescent="0.25">
      <c r="A6" s="113" t="s">
        <v>174</v>
      </c>
      <c r="B6" s="113" t="s">
        <v>175</v>
      </c>
      <c r="C6" s="299" t="s">
        <v>886</v>
      </c>
      <c r="D6" s="299" t="s">
        <v>401</v>
      </c>
      <c r="E6" s="299" t="s">
        <v>24</v>
      </c>
      <c r="F6" s="300" t="s">
        <v>172</v>
      </c>
      <c r="G6" s="299" t="s">
        <v>46</v>
      </c>
      <c r="H6" s="87" t="s">
        <v>370</v>
      </c>
      <c r="I6" s="299" t="s">
        <v>808</v>
      </c>
      <c r="J6" s="299"/>
      <c r="K6" s="330" t="s">
        <v>370</v>
      </c>
      <c r="L6" s="298">
        <v>44362</v>
      </c>
      <c r="M6" s="329">
        <v>44362</v>
      </c>
      <c r="N6" s="298">
        <v>44418</v>
      </c>
      <c r="O6" s="329">
        <v>44418</v>
      </c>
      <c r="P6" s="346" t="e">
        <f t="shared" si="5"/>
        <v>#VALUE!</v>
      </c>
      <c r="Q6" s="301">
        <f t="shared" si="0"/>
        <v>56</v>
      </c>
      <c r="R6" s="346">
        <f t="shared" si="1"/>
        <v>56</v>
      </c>
      <c r="S6" s="52" t="s">
        <v>370</v>
      </c>
      <c r="T6" s="329">
        <v>44382</v>
      </c>
      <c r="U6" s="298">
        <v>44589</v>
      </c>
      <c r="V6" s="50">
        <v>6.8770764119601333</v>
      </c>
      <c r="W6" s="50">
        <f t="shared" si="2"/>
        <v>6.8770764119601333</v>
      </c>
      <c r="X6" s="50"/>
      <c r="Y6" s="50"/>
      <c r="Z6" s="50" t="s">
        <v>370</v>
      </c>
      <c r="AA6" s="182">
        <v>1367413.55</v>
      </c>
      <c r="AB6" s="211">
        <v>864219.08000000007</v>
      </c>
      <c r="AC6" s="115">
        <v>83841.399999999994</v>
      </c>
      <c r="AD6" s="275">
        <v>92706.81</v>
      </c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3"/>
      <c r="AP6" s="47"/>
      <c r="AQ6" s="53">
        <f t="shared" si="3"/>
        <v>1040767.29</v>
      </c>
      <c r="AR6" s="51"/>
      <c r="AS6" s="359">
        <f t="shared" si="4"/>
        <v>-326646.26</v>
      </c>
      <c r="AU6" s="55"/>
    </row>
    <row r="7" spans="1:47" s="452" customFormat="1" ht="15.75" x14ac:dyDescent="0.25">
      <c r="A7" s="113" t="s">
        <v>176</v>
      </c>
      <c r="B7" s="114" t="s">
        <v>177</v>
      </c>
      <c r="C7" s="299" t="s">
        <v>886</v>
      </c>
      <c r="D7" s="52" t="s">
        <v>401</v>
      </c>
      <c r="E7" s="299" t="s">
        <v>24</v>
      </c>
      <c r="F7" s="114" t="s">
        <v>642</v>
      </c>
      <c r="G7" s="299" t="s">
        <v>46</v>
      </c>
      <c r="H7" s="87" t="s">
        <v>370</v>
      </c>
      <c r="I7" s="424" t="s">
        <v>808</v>
      </c>
      <c r="J7" s="424"/>
      <c r="K7" s="330" t="s">
        <v>370</v>
      </c>
      <c r="L7" s="299">
        <v>44367</v>
      </c>
      <c r="M7" s="330">
        <v>44367</v>
      </c>
      <c r="N7" s="299">
        <v>44533</v>
      </c>
      <c r="O7" s="329">
        <v>44533</v>
      </c>
      <c r="P7" s="346" t="e">
        <f t="shared" si="5"/>
        <v>#VALUE!</v>
      </c>
      <c r="Q7" s="301">
        <f t="shared" si="0"/>
        <v>166</v>
      </c>
      <c r="R7" s="333">
        <f t="shared" si="1"/>
        <v>166</v>
      </c>
      <c r="S7" s="52" t="s">
        <v>370</v>
      </c>
      <c r="T7" s="329">
        <v>44517</v>
      </c>
      <c r="U7" s="490">
        <v>44682</v>
      </c>
      <c r="V7" s="50">
        <v>3.0000000000000968</v>
      </c>
      <c r="W7" s="50">
        <f t="shared" si="2"/>
        <v>5.4817275747508312</v>
      </c>
      <c r="X7" s="50"/>
      <c r="Y7" s="50"/>
      <c r="Z7" s="50" t="s">
        <v>370</v>
      </c>
      <c r="AA7" s="182">
        <v>272915</v>
      </c>
      <c r="AB7" s="211">
        <v>139535.13999999998</v>
      </c>
      <c r="AC7" s="115">
        <v>39753.440000000002</v>
      </c>
      <c r="AD7" s="275">
        <v>50000</v>
      </c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3"/>
      <c r="AP7" s="47"/>
      <c r="AQ7" s="53">
        <f t="shared" si="3"/>
        <v>229288.58</v>
      </c>
      <c r="AR7" s="51"/>
      <c r="AS7" s="359">
        <f t="shared" si="4"/>
        <v>-43626.420000000013</v>
      </c>
      <c r="AT7" s="36"/>
      <c r="AU7" s="55"/>
    </row>
    <row r="8" spans="1:47" s="36" customFormat="1" ht="15.75" x14ac:dyDescent="0.25">
      <c r="A8" s="113" t="s">
        <v>485</v>
      </c>
      <c r="B8" s="114" t="s">
        <v>599</v>
      </c>
      <c r="C8" s="299" t="s">
        <v>886</v>
      </c>
      <c r="D8" s="87" t="s">
        <v>401</v>
      </c>
      <c r="E8" s="299" t="s">
        <v>24</v>
      </c>
      <c r="F8" s="35" t="s">
        <v>707</v>
      </c>
      <c r="G8" s="52" t="s">
        <v>46</v>
      </c>
      <c r="H8" s="87" t="s">
        <v>370</v>
      </c>
      <c r="I8" s="422" t="s">
        <v>807</v>
      </c>
      <c r="J8" s="422"/>
      <c r="K8" s="330" t="s">
        <v>370</v>
      </c>
      <c r="L8" s="52">
        <v>44391</v>
      </c>
      <c r="M8" s="330">
        <v>44391</v>
      </c>
      <c r="N8" s="299">
        <v>44456</v>
      </c>
      <c r="O8" s="329">
        <v>44456</v>
      </c>
      <c r="P8" s="346" t="e">
        <f t="shared" si="5"/>
        <v>#VALUE!</v>
      </c>
      <c r="Q8" s="301">
        <f t="shared" si="0"/>
        <v>65</v>
      </c>
      <c r="R8" s="333">
        <f t="shared" si="1"/>
        <v>65</v>
      </c>
      <c r="S8" s="52" t="s">
        <v>370</v>
      </c>
      <c r="T8" s="329">
        <v>44530</v>
      </c>
      <c r="U8" s="490">
        <v>44692</v>
      </c>
      <c r="V8" s="50">
        <v>5.0166112956810638</v>
      </c>
      <c r="W8" s="50">
        <f t="shared" si="2"/>
        <v>5.382059800664452</v>
      </c>
      <c r="X8" s="50"/>
      <c r="Y8" s="50"/>
      <c r="Z8" s="50" t="s">
        <v>370</v>
      </c>
      <c r="AA8" s="182">
        <v>1180416.18</v>
      </c>
      <c r="AB8" s="211">
        <v>488349.41</v>
      </c>
      <c r="AC8" s="115">
        <v>162144.04999999999</v>
      </c>
      <c r="AD8" s="275">
        <v>175000</v>
      </c>
      <c r="AE8" s="275">
        <v>175000</v>
      </c>
      <c r="AF8" s="275">
        <v>200000</v>
      </c>
      <c r="AG8" s="275">
        <v>100000</v>
      </c>
      <c r="AH8" s="275">
        <v>37479.050000000003</v>
      </c>
      <c r="AI8" s="58"/>
      <c r="AJ8" s="58"/>
      <c r="AK8" s="58"/>
      <c r="AL8" s="58"/>
      <c r="AM8" s="58"/>
      <c r="AN8" s="58"/>
      <c r="AO8" s="53"/>
      <c r="AP8" s="47"/>
      <c r="AQ8" s="53">
        <f t="shared" si="3"/>
        <v>1337972.51</v>
      </c>
      <c r="AR8" s="51"/>
      <c r="AS8" s="359">
        <f t="shared" si="4"/>
        <v>157556.33000000007</v>
      </c>
      <c r="AU8" s="55"/>
    </row>
    <row r="9" spans="1:47" s="36" customFormat="1" ht="15.75" x14ac:dyDescent="0.25">
      <c r="A9" s="113" t="s">
        <v>486</v>
      </c>
      <c r="B9" s="114" t="s">
        <v>601</v>
      </c>
      <c r="C9" s="299" t="s">
        <v>886</v>
      </c>
      <c r="D9" s="87" t="s">
        <v>401</v>
      </c>
      <c r="E9" s="299" t="s">
        <v>24</v>
      </c>
      <c r="F9" s="114" t="s">
        <v>705</v>
      </c>
      <c r="G9" s="87" t="s">
        <v>46</v>
      </c>
      <c r="H9" s="87" t="s">
        <v>370</v>
      </c>
      <c r="I9" s="464" t="s">
        <v>807</v>
      </c>
      <c r="J9" s="464"/>
      <c r="K9" s="329" t="s">
        <v>370</v>
      </c>
      <c r="L9" s="87">
        <v>44508</v>
      </c>
      <c r="M9" s="329">
        <v>44508</v>
      </c>
      <c r="N9" s="298">
        <v>44539</v>
      </c>
      <c r="O9" s="329">
        <v>44539</v>
      </c>
      <c r="P9" s="346" t="e">
        <f t="shared" si="5"/>
        <v>#VALUE!</v>
      </c>
      <c r="Q9" s="301">
        <f t="shared" si="0"/>
        <v>31</v>
      </c>
      <c r="R9" s="346">
        <f t="shared" si="1"/>
        <v>31</v>
      </c>
      <c r="S9" s="87" t="s">
        <v>370</v>
      </c>
      <c r="T9" s="329">
        <v>44609</v>
      </c>
      <c r="U9" s="490">
        <v>44682</v>
      </c>
      <c r="V9" s="50">
        <v>3.0000000000000968</v>
      </c>
      <c r="W9" s="50">
        <f t="shared" si="2"/>
        <v>2.4252491694352161</v>
      </c>
      <c r="X9" s="50"/>
      <c r="Y9" s="50"/>
      <c r="Z9" s="50" t="s">
        <v>370</v>
      </c>
      <c r="AA9" s="182">
        <v>253338.08</v>
      </c>
      <c r="AB9" s="211">
        <v>95915.97</v>
      </c>
      <c r="AC9" s="115">
        <v>0</v>
      </c>
      <c r="AD9" s="275">
        <v>50000</v>
      </c>
      <c r="AE9" s="275">
        <v>50000</v>
      </c>
      <c r="AF9" s="275">
        <v>50000</v>
      </c>
      <c r="AG9" s="275">
        <v>25000</v>
      </c>
      <c r="AH9" s="275">
        <v>12755.99</v>
      </c>
      <c r="AI9" s="58"/>
      <c r="AJ9" s="58"/>
      <c r="AK9" s="58"/>
      <c r="AL9" s="58"/>
      <c r="AM9" s="58"/>
      <c r="AN9" s="58"/>
      <c r="AO9" s="53"/>
      <c r="AP9" s="47"/>
      <c r="AQ9" s="53">
        <f t="shared" si="3"/>
        <v>283671.95999999996</v>
      </c>
      <c r="AR9" s="51"/>
      <c r="AS9" s="359">
        <f t="shared" si="4"/>
        <v>30333.879999999976</v>
      </c>
      <c r="AU9" s="55"/>
    </row>
    <row r="10" spans="1:47" s="452" customFormat="1" ht="15.75" x14ac:dyDescent="0.25">
      <c r="A10" s="113" t="s">
        <v>679</v>
      </c>
      <c r="B10" s="114" t="s">
        <v>600</v>
      </c>
      <c r="C10" s="299" t="s">
        <v>886</v>
      </c>
      <c r="D10" s="87" t="s">
        <v>401</v>
      </c>
      <c r="E10" s="299" t="s">
        <v>24</v>
      </c>
      <c r="F10" s="35" t="s">
        <v>706</v>
      </c>
      <c r="G10" s="52" t="s">
        <v>46</v>
      </c>
      <c r="H10" s="87" t="s">
        <v>370</v>
      </c>
      <c r="I10" s="464" t="s">
        <v>807</v>
      </c>
      <c r="J10" s="464"/>
      <c r="K10" s="330" t="s">
        <v>370</v>
      </c>
      <c r="L10" s="52">
        <v>44536</v>
      </c>
      <c r="M10" s="330">
        <v>44536</v>
      </c>
      <c r="N10" s="299">
        <v>44575</v>
      </c>
      <c r="O10" s="329">
        <v>44589</v>
      </c>
      <c r="P10" s="346" t="e">
        <f t="shared" si="5"/>
        <v>#VALUE!</v>
      </c>
      <c r="Q10" s="301">
        <f t="shared" si="0"/>
        <v>39</v>
      </c>
      <c r="R10" s="333">
        <f t="shared" si="1"/>
        <v>53</v>
      </c>
      <c r="S10" s="52" t="s">
        <v>370</v>
      </c>
      <c r="T10" s="329">
        <v>44606</v>
      </c>
      <c r="U10" s="52">
        <v>44756</v>
      </c>
      <c r="V10" s="50">
        <v>3.5548172757475087</v>
      </c>
      <c r="W10" s="50">
        <f t="shared" si="2"/>
        <v>4.9833887043189371</v>
      </c>
      <c r="X10" s="50"/>
      <c r="Y10" s="50"/>
      <c r="Z10" s="50" t="s">
        <v>370</v>
      </c>
      <c r="AA10" s="182">
        <v>402660.29</v>
      </c>
      <c r="AB10" s="211">
        <v>34445.589999999997</v>
      </c>
      <c r="AC10" s="115">
        <v>0</v>
      </c>
      <c r="AD10" s="275">
        <v>75000</v>
      </c>
      <c r="AE10" s="275">
        <v>75000</v>
      </c>
      <c r="AF10" s="275">
        <v>75000</v>
      </c>
      <c r="AG10" s="275">
        <v>50000</v>
      </c>
      <c r="AH10" s="275">
        <v>43214.7</v>
      </c>
      <c r="AI10" s="58"/>
      <c r="AJ10" s="58"/>
      <c r="AK10" s="58"/>
      <c r="AL10" s="58"/>
      <c r="AM10" s="58"/>
      <c r="AN10" s="58"/>
      <c r="AO10" s="53"/>
      <c r="AP10" s="47"/>
      <c r="AQ10" s="53">
        <f t="shared" si="3"/>
        <v>352660.29</v>
      </c>
      <c r="AR10" s="51"/>
      <c r="AS10" s="359">
        <f t="shared" si="4"/>
        <v>-50000</v>
      </c>
      <c r="AT10" s="36"/>
      <c r="AU10" s="55"/>
    </row>
    <row r="11" spans="1:47" s="36" customFormat="1" ht="15.75" x14ac:dyDescent="0.25">
      <c r="A11" s="374" t="s">
        <v>734</v>
      </c>
      <c r="B11" s="375" t="s">
        <v>652</v>
      </c>
      <c r="C11" s="299" t="s">
        <v>886</v>
      </c>
      <c r="D11" s="52" t="s">
        <v>402</v>
      </c>
      <c r="E11" s="299" t="s">
        <v>24</v>
      </c>
      <c r="F11" s="35" t="s">
        <v>701</v>
      </c>
      <c r="G11" s="52" t="s">
        <v>623</v>
      </c>
      <c r="H11" s="87" t="s">
        <v>320</v>
      </c>
      <c r="I11" s="422" t="s">
        <v>856</v>
      </c>
      <c r="J11" s="422"/>
      <c r="K11" s="52">
        <v>44638</v>
      </c>
      <c r="L11" s="87">
        <v>44580</v>
      </c>
      <c r="M11" s="329">
        <v>44593</v>
      </c>
      <c r="N11" s="52">
        <v>44625</v>
      </c>
      <c r="O11" s="87">
        <f>M11+45</f>
        <v>44638</v>
      </c>
      <c r="P11" s="346">
        <f t="shared" si="5"/>
        <v>0</v>
      </c>
      <c r="Q11" s="50">
        <f t="shared" si="0"/>
        <v>45</v>
      </c>
      <c r="R11" s="50">
        <f t="shared" si="1"/>
        <v>45</v>
      </c>
      <c r="S11" s="52" t="s">
        <v>320</v>
      </c>
      <c r="T11" s="376">
        <f>O11+15</f>
        <v>44653</v>
      </c>
      <c r="U11" s="87">
        <f>T11+(6*4.3*7)</f>
        <v>44833.599999999999</v>
      </c>
      <c r="V11" s="50">
        <v>5.999999999999952</v>
      </c>
      <c r="W11" s="50">
        <f t="shared" si="2"/>
        <v>5.999999999999952</v>
      </c>
      <c r="X11" s="50"/>
      <c r="Y11" s="50"/>
      <c r="Z11" s="50"/>
      <c r="AA11" s="53">
        <v>750000</v>
      </c>
      <c r="AB11" s="211">
        <v>0</v>
      </c>
      <c r="AC11" s="115">
        <v>0</v>
      </c>
      <c r="AD11" s="275">
        <v>75000</v>
      </c>
      <c r="AE11" s="275">
        <v>100000</v>
      </c>
      <c r="AF11" s="275">
        <v>125000</v>
      </c>
      <c r="AG11" s="275">
        <v>125000</v>
      </c>
      <c r="AH11" s="275">
        <v>125000</v>
      </c>
      <c r="AI11" s="275">
        <v>140000</v>
      </c>
      <c r="AJ11" s="275">
        <v>60000</v>
      </c>
      <c r="AK11" s="58"/>
      <c r="AL11" s="58"/>
      <c r="AM11" s="58"/>
      <c r="AN11" s="58"/>
      <c r="AO11" s="53"/>
      <c r="AP11" s="47"/>
      <c r="AQ11" s="53">
        <f t="shared" si="3"/>
        <v>750000</v>
      </c>
      <c r="AR11" s="51"/>
      <c r="AS11" s="359">
        <f t="shared" si="4"/>
        <v>0</v>
      </c>
      <c r="AU11" s="55"/>
    </row>
    <row r="12" spans="1:47" s="36" customFormat="1" ht="15.75" x14ac:dyDescent="0.25">
      <c r="A12" s="113" t="s">
        <v>868</v>
      </c>
      <c r="B12" s="114" t="s">
        <v>869</v>
      </c>
      <c r="C12" s="299" t="s">
        <v>886</v>
      </c>
      <c r="D12" s="87" t="s">
        <v>401</v>
      </c>
      <c r="E12" s="299" t="s">
        <v>24</v>
      </c>
      <c r="F12" s="114" t="s">
        <v>643</v>
      </c>
      <c r="G12" s="87" t="s">
        <v>46</v>
      </c>
      <c r="H12" s="87" t="s">
        <v>370</v>
      </c>
      <c r="I12" s="432" t="s">
        <v>810</v>
      </c>
      <c r="J12" s="432"/>
      <c r="K12" s="329" t="s">
        <v>370</v>
      </c>
      <c r="L12" s="87">
        <v>44512</v>
      </c>
      <c r="M12" s="329">
        <v>44512</v>
      </c>
      <c r="N12" s="298">
        <v>44567</v>
      </c>
      <c r="O12" s="329">
        <v>44560</v>
      </c>
      <c r="P12" s="346" t="e">
        <f t="shared" si="5"/>
        <v>#VALUE!</v>
      </c>
      <c r="Q12" s="301">
        <f t="shared" si="0"/>
        <v>55</v>
      </c>
      <c r="R12" s="346">
        <f t="shared" si="1"/>
        <v>48</v>
      </c>
      <c r="S12" s="87" t="s">
        <v>370</v>
      </c>
      <c r="T12" s="329">
        <v>44572</v>
      </c>
      <c r="U12" s="52">
        <v>44805</v>
      </c>
      <c r="V12" s="50">
        <v>6.9999999999999041</v>
      </c>
      <c r="W12" s="50">
        <f t="shared" si="2"/>
        <v>7.7408637873754156</v>
      </c>
      <c r="X12" s="50"/>
      <c r="Y12" s="50"/>
      <c r="Z12" s="50" t="s">
        <v>370</v>
      </c>
      <c r="AA12" s="182">
        <v>1353098.44</v>
      </c>
      <c r="AB12" s="211">
        <v>86613.87</v>
      </c>
      <c r="AC12" s="115">
        <v>120514.88</v>
      </c>
      <c r="AD12" s="275">
        <v>225000</v>
      </c>
      <c r="AE12" s="275">
        <v>225000</v>
      </c>
      <c r="AF12" s="275">
        <v>250000</v>
      </c>
      <c r="AG12" s="275">
        <v>200000</v>
      </c>
      <c r="AH12" s="275">
        <v>200000</v>
      </c>
      <c r="AI12" s="275">
        <v>200000</v>
      </c>
      <c r="AJ12" s="275">
        <v>200000</v>
      </c>
      <c r="AK12" s="275">
        <v>200000</v>
      </c>
      <c r="AL12" s="58"/>
      <c r="AM12" s="58"/>
      <c r="AN12" s="58"/>
      <c r="AO12" s="53"/>
      <c r="AP12" s="47"/>
      <c r="AQ12" s="53">
        <f t="shared" si="3"/>
        <v>1907128.75</v>
      </c>
      <c r="AR12" s="51"/>
      <c r="AS12" s="359">
        <f t="shared" si="4"/>
        <v>554030.31000000006</v>
      </c>
    </row>
    <row r="13" spans="1:47" s="36" customFormat="1" ht="15.75" x14ac:dyDescent="0.25">
      <c r="A13" s="111" t="s">
        <v>224</v>
      </c>
      <c r="B13" s="112" t="s">
        <v>680</v>
      </c>
      <c r="C13" s="299" t="s">
        <v>886</v>
      </c>
      <c r="D13" s="87" t="s">
        <v>24</v>
      </c>
      <c r="E13" s="299" t="s">
        <v>24</v>
      </c>
      <c r="F13" s="61" t="s">
        <v>689</v>
      </c>
      <c r="G13" s="52" t="s">
        <v>46</v>
      </c>
      <c r="H13" s="87" t="s">
        <v>370</v>
      </c>
      <c r="I13" s="422" t="s">
        <v>474</v>
      </c>
      <c r="J13" s="422"/>
      <c r="K13" s="330" t="s">
        <v>370</v>
      </c>
      <c r="L13" s="87">
        <v>44365</v>
      </c>
      <c r="M13" s="330">
        <v>44365</v>
      </c>
      <c r="N13" s="299">
        <v>44489</v>
      </c>
      <c r="O13" s="329">
        <v>44489</v>
      </c>
      <c r="P13" s="346" t="e">
        <f t="shared" si="5"/>
        <v>#VALUE!</v>
      </c>
      <c r="Q13" s="301">
        <f t="shared" si="0"/>
        <v>124</v>
      </c>
      <c r="R13" s="333">
        <f t="shared" si="1"/>
        <v>124</v>
      </c>
      <c r="S13" s="52" t="s">
        <v>370</v>
      </c>
      <c r="T13" s="329">
        <f>O13+15</f>
        <v>44504</v>
      </c>
      <c r="U13" s="52">
        <v>44651</v>
      </c>
      <c r="V13" s="88">
        <v>4.8837209302325579</v>
      </c>
      <c r="W13" s="88">
        <f t="shared" si="2"/>
        <v>4.8837209302325579</v>
      </c>
      <c r="X13" s="88"/>
      <c r="Y13" s="88"/>
      <c r="Z13" s="88" t="s">
        <v>370</v>
      </c>
      <c r="AA13" s="182">
        <v>1207444.74</v>
      </c>
      <c r="AB13" s="211">
        <v>527222.15999999992</v>
      </c>
      <c r="AC13" s="115">
        <v>0</v>
      </c>
      <c r="AD13" s="275">
        <v>300000</v>
      </c>
      <c r="AE13" s="275">
        <v>300000</v>
      </c>
      <c r="AF13" s="275">
        <v>300000</v>
      </c>
      <c r="AG13" s="275">
        <v>227635.20000000001</v>
      </c>
      <c r="AH13" s="58"/>
      <c r="AI13" s="58"/>
      <c r="AJ13" s="58"/>
      <c r="AK13" s="58"/>
      <c r="AL13" s="58"/>
      <c r="AM13" s="58"/>
      <c r="AN13" s="58"/>
      <c r="AO13" s="53"/>
      <c r="AP13" s="47"/>
      <c r="AQ13" s="53">
        <f t="shared" si="3"/>
        <v>1654857.3599999999</v>
      </c>
      <c r="AR13" s="51"/>
      <c r="AS13" s="359">
        <f t="shared" si="4"/>
        <v>447412.61999999988</v>
      </c>
      <c r="AU13" s="55"/>
    </row>
    <row r="14" spans="1:47" s="36" customFormat="1" ht="15.75" x14ac:dyDescent="0.25">
      <c r="A14" s="443"/>
      <c r="B14" s="444"/>
      <c r="C14" s="445"/>
      <c r="D14" s="445"/>
      <c r="E14" s="446"/>
      <c r="F14" s="444"/>
      <c r="G14" s="445"/>
      <c r="H14" s="445"/>
      <c r="I14" s="446"/>
      <c r="J14" s="446"/>
      <c r="K14" s="445"/>
      <c r="L14" s="445"/>
      <c r="M14" s="445"/>
      <c r="N14" s="445"/>
      <c r="O14" s="445"/>
      <c r="P14" s="447"/>
      <c r="Q14" s="445"/>
      <c r="R14" s="447"/>
      <c r="S14" s="445"/>
      <c r="T14" s="445"/>
      <c r="U14" s="445"/>
      <c r="V14" s="447"/>
      <c r="W14" s="445"/>
      <c r="X14" s="447"/>
      <c r="Y14" s="447"/>
      <c r="Z14" s="447"/>
      <c r="AA14" s="448">
        <f t="shared" ref="AA14:AO14" si="6">SUBTOTAL(9,AA4:AA13)</f>
        <v>9020556.4299999997</v>
      </c>
      <c r="AB14" s="448">
        <f t="shared" si="6"/>
        <v>4236658.5600000005</v>
      </c>
      <c r="AC14" s="448">
        <f t="shared" si="6"/>
        <v>530325.79</v>
      </c>
      <c r="AD14" s="448">
        <f t="shared" si="6"/>
        <v>1042706.81</v>
      </c>
      <c r="AE14" s="448">
        <f t="shared" si="6"/>
        <v>925000</v>
      </c>
      <c r="AF14" s="448">
        <f t="shared" si="6"/>
        <v>1000000</v>
      </c>
      <c r="AG14" s="448">
        <f t="shared" si="6"/>
        <v>727635.2</v>
      </c>
      <c r="AH14" s="448">
        <f t="shared" si="6"/>
        <v>418449.74</v>
      </c>
      <c r="AI14" s="448">
        <f t="shared" si="6"/>
        <v>340000</v>
      </c>
      <c r="AJ14" s="448">
        <f t="shared" si="6"/>
        <v>260000</v>
      </c>
      <c r="AK14" s="448">
        <f t="shared" si="6"/>
        <v>200000</v>
      </c>
      <c r="AL14" s="448">
        <f t="shared" si="6"/>
        <v>0</v>
      </c>
      <c r="AM14" s="448">
        <f t="shared" si="6"/>
        <v>0</v>
      </c>
      <c r="AN14" s="448">
        <f t="shared" si="6"/>
        <v>0</v>
      </c>
      <c r="AO14" s="448">
        <f t="shared" si="6"/>
        <v>0</v>
      </c>
      <c r="AP14" s="449"/>
      <c r="AQ14" s="448">
        <f>SUBTOTAL(9,AQ4:AQ13)</f>
        <v>9680776.0999999996</v>
      </c>
      <c r="AR14" s="450"/>
      <c r="AS14" s="451">
        <f t="shared" si="4"/>
        <v>660219.66999999993</v>
      </c>
      <c r="AT14" s="453"/>
      <c r="AU14" s="452"/>
    </row>
    <row r="15" spans="1:47" s="36" customFormat="1" ht="15.75" x14ac:dyDescent="0.25">
      <c r="A15" s="381" t="s">
        <v>878</v>
      </c>
      <c r="B15" s="106"/>
      <c r="C15" s="102" t="s">
        <v>874</v>
      </c>
      <c r="D15" s="102"/>
      <c r="E15" s="420"/>
      <c r="F15" s="106"/>
      <c r="G15" s="102"/>
      <c r="H15" s="102"/>
      <c r="I15" s="420"/>
      <c r="J15" s="420"/>
      <c r="K15" s="102"/>
      <c r="L15" s="102"/>
      <c r="M15" s="276"/>
      <c r="N15" s="276"/>
      <c r="O15" s="276"/>
      <c r="P15" s="84"/>
      <c r="Q15" s="276"/>
      <c r="R15" s="84"/>
      <c r="S15" s="102"/>
      <c r="T15" s="102"/>
      <c r="U15" s="102"/>
      <c r="V15" s="84"/>
      <c r="W15" s="102"/>
      <c r="X15" s="102"/>
      <c r="Y15" s="102"/>
      <c r="Z15" s="102"/>
      <c r="AA15" s="102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47"/>
      <c r="AQ15" s="103"/>
      <c r="AR15" s="51"/>
      <c r="AS15" s="359"/>
      <c r="AU15" s="55"/>
    </row>
    <row r="16" spans="1:47" s="36" customFormat="1" ht="15.75" x14ac:dyDescent="0.25">
      <c r="A16" s="113" t="s">
        <v>881</v>
      </c>
      <c r="B16" s="114" t="s">
        <v>880</v>
      </c>
      <c r="C16" s="52" t="s">
        <v>874</v>
      </c>
      <c r="D16" s="52" t="s">
        <v>873</v>
      </c>
      <c r="E16" s="423" t="s">
        <v>890</v>
      </c>
      <c r="F16" s="61" t="s">
        <v>264</v>
      </c>
      <c r="G16" s="52" t="s">
        <v>46</v>
      </c>
      <c r="H16" s="87" t="s">
        <v>370</v>
      </c>
      <c r="I16" s="423" t="s">
        <v>265</v>
      </c>
      <c r="J16" s="423"/>
      <c r="K16" s="330" t="s">
        <v>370</v>
      </c>
      <c r="L16" s="52">
        <v>44348</v>
      </c>
      <c r="M16" s="330">
        <v>44348</v>
      </c>
      <c r="N16" s="299">
        <v>44362</v>
      </c>
      <c r="O16" s="330">
        <v>44362</v>
      </c>
      <c r="P16" s="333" t="e">
        <f t="shared" ref="P16:P24" si="7">O16-K16</f>
        <v>#VALUE!</v>
      </c>
      <c r="Q16" s="344">
        <f t="shared" ref="Q16:R22" si="8">N16-L16</f>
        <v>14</v>
      </c>
      <c r="R16" s="333">
        <f t="shared" si="8"/>
        <v>14</v>
      </c>
      <c r="S16" s="52" t="s">
        <v>370</v>
      </c>
      <c r="T16" s="330">
        <v>44344</v>
      </c>
      <c r="U16" s="52">
        <v>44497</v>
      </c>
      <c r="V16" s="50">
        <v>5</v>
      </c>
      <c r="W16" s="50">
        <f>((U16-T16)/7)/4.3</f>
        <v>5.0830564784053163</v>
      </c>
      <c r="X16" s="50"/>
      <c r="Y16" s="50"/>
      <c r="Z16" s="50" t="s">
        <v>370</v>
      </c>
      <c r="AA16" s="182">
        <v>89125</v>
      </c>
      <c r="AB16" s="211">
        <v>58100</v>
      </c>
      <c r="AC16" s="115">
        <v>0</v>
      </c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3"/>
      <c r="AP16" s="47"/>
      <c r="AQ16" s="53">
        <f>SUM(AB16:AP16)</f>
        <v>58100</v>
      </c>
      <c r="AR16" s="51"/>
      <c r="AS16" s="359">
        <f>AQ16-AA16</f>
        <v>-31025</v>
      </c>
    </row>
    <row r="17" spans="1:47" s="36" customFormat="1" ht="15.75" x14ac:dyDescent="0.25">
      <c r="A17" s="34" t="s">
        <v>65</v>
      </c>
      <c r="B17" s="114" t="s">
        <v>531</v>
      </c>
      <c r="C17" s="52" t="s">
        <v>874</v>
      </c>
      <c r="D17" s="52" t="s">
        <v>873</v>
      </c>
      <c r="E17" s="423" t="s">
        <v>24</v>
      </c>
      <c r="F17" s="61" t="s">
        <v>67</v>
      </c>
      <c r="G17" s="52" t="s">
        <v>46</v>
      </c>
      <c r="H17" s="87" t="s">
        <v>370</v>
      </c>
      <c r="I17" s="423" t="s">
        <v>812</v>
      </c>
      <c r="J17" s="423"/>
      <c r="K17" s="330" t="s">
        <v>370</v>
      </c>
      <c r="L17" s="52">
        <v>43929</v>
      </c>
      <c r="M17" s="329">
        <v>43929</v>
      </c>
      <c r="N17" s="298">
        <v>44004</v>
      </c>
      <c r="O17" s="329">
        <v>44004</v>
      </c>
      <c r="P17" s="346" t="e">
        <f t="shared" si="7"/>
        <v>#VALUE!</v>
      </c>
      <c r="Q17" s="344">
        <f t="shared" si="8"/>
        <v>75</v>
      </c>
      <c r="R17" s="333">
        <f t="shared" si="8"/>
        <v>75</v>
      </c>
      <c r="S17" s="321" t="s">
        <v>370</v>
      </c>
      <c r="T17" s="330">
        <v>44004</v>
      </c>
      <c r="U17" s="87">
        <v>44469</v>
      </c>
      <c r="V17" s="88">
        <v>15</v>
      </c>
      <c r="W17" s="50">
        <f t="shared" ref="W17:W22" si="9">((U17-T17)/7)/4.3</f>
        <v>15.448504983388705</v>
      </c>
      <c r="X17" s="50"/>
      <c r="Y17" s="50"/>
      <c r="Z17" s="50" t="s">
        <v>370</v>
      </c>
      <c r="AA17" s="182">
        <v>2482029.5100000002</v>
      </c>
      <c r="AB17" s="211">
        <v>2482029.5099999998</v>
      </c>
      <c r="AC17" s="115">
        <v>0</v>
      </c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47"/>
      <c r="AQ17" s="53">
        <f t="shared" ref="AQ17:AQ24" si="10">SUM(AB17:AP17)</f>
        <v>2482029.5099999998</v>
      </c>
      <c r="AR17" s="51"/>
      <c r="AS17" s="359">
        <f t="shared" ref="AS17:AS59" si="11">AQ17-AA17</f>
        <v>0</v>
      </c>
    </row>
    <row r="18" spans="1:47" s="36" customFormat="1" ht="15.75" x14ac:dyDescent="0.25">
      <c r="A18" s="34" t="s">
        <v>383</v>
      </c>
      <c r="B18" s="35" t="s">
        <v>384</v>
      </c>
      <c r="C18" s="52" t="s">
        <v>874</v>
      </c>
      <c r="D18" s="52" t="s">
        <v>873</v>
      </c>
      <c r="E18" s="423" t="s">
        <v>24</v>
      </c>
      <c r="F18" s="417" t="s">
        <v>89</v>
      </c>
      <c r="G18" s="52" t="s">
        <v>46</v>
      </c>
      <c r="H18" s="87" t="s">
        <v>370</v>
      </c>
      <c r="I18" s="422" t="s">
        <v>91</v>
      </c>
      <c r="J18" s="422"/>
      <c r="K18" s="330" t="s">
        <v>370</v>
      </c>
      <c r="L18" s="52">
        <v>44071</v>
      </c>
      <c r="M18" s="329">
        <v>44071</v>
      </c>
      <c r="N18" s="298">
        <v>44260</v>
      </c>
      <c r="O18" s="329">
        <v>44260</v>
      </c>
      <c r="P18" s="346" t="e">
        <f t="shared" si="7"/>
        <v>#VALUE!</v>
      </c>
      <c r="Q18" s="344">
        <f t="shared" si="8"/>
        <v>189</v>
      </c>
      <c r="R18" s="333">
        <f t="shared" si="8"/>
        <v>189</v>
      </c>
      <c r="S18" s="52" t="s">
        <v>370</v>
      </c>
      <c r="T18" s="329">
        <v>44290</v>
      </c>
      <c r="U18" s="87">
        <v>44484</v>
      </c>
      <c r="V18" s="88">
        <v>6</v>
      </c>
      <c r="W18" s="50">
        <f t="shared" si="9"/>
        <v>6.4451827242524926</v>
      </c>
      <c r="X18" s="50"/>
      <c r="Y18" s="50"/>
      <c r="Z18" s="50" t="s">
        <v>370</v>
      </c>
      <c r="AA18" s="182">
        <v>712367.42999999993</v>
      </c>
      <c r="AB18" s="211">
        <v>712367.42999999993</v>
      </c>
      <c r="AC18" s="115">
        <v>0</v>
      </c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3"/>
      <c r="AP18" s="47"/>
      <c r="AQ18" s="53">
        <f t="shared" si="10"/>
        <v>712367.42999999993</v>
      </c>
      <c r="AR18" s="51"/>
      <c r="AS18" s="359">
        <f t="shared" si="11"/>
        <v>0</v>
      </c>
      <c r="AU18" s="55"/>
    </row>
    <row r="19" spans="1:47" s="36" customFormat="1" ht="15.75" x14ac:dyDescent="0.25">
      <c r="A19" s="34" t="s">
        <v>92</v>
      </c>
      <c r="B19" s="35" t="s">
        <v>543</v>
      </c>
      <c r="C19" s="52" t="s">
        <v>874</v>
      </c>
      <c r="D19" s="52" t="s">
        <v>873</v>
      </c>
      <c r="E19" s="423" t="s">
        <v>24</v>
      </c>
      <c r="F19" s="35" t="s">
        <v>94</v>
      </c>
      <c r="G19" s="52" t="s">
        <v>46</v>
      </c>
      <c r="H19" s="87" t="s">
        <v>370</v>
      </c>
      <c r="I19" s="422" t="s">
        <v>95</v>
      </c>
      <c r="J19" s="422"/>
      <c r="K19" s="330" t="s">
        <v>370</v>
      </c>
      <c r="L19" s="52">
        <v>44120</v>
      </c>
      <c r="M19" s="330">
        <v>44120</v>
      </c>
      <c r="N19" s="299">
        <v>44246</v>
      </c>
      <c r="O19" s="330">
        <v>44246</v>
      </c>
      <c r="P19" s="333" t="e">
        <f t="shared" si="7"/>
        <v>#VALUE!</v>
      </c>
      <c r="Q19" s="344">
        <f t="shared" si="8"/>
        <v>126</v>
      </c>
      <c r="R19" s="333">
        <f t="shared" si="8"/>
        <v>126</v>
      </c>
      <c r="S19" s="52" t="s">
        <v>370</v>
      </c>
      <c r="T19" s="329">
        <v>44256</v>
      </c>
      <c r="U19" s="87">
        <v>44557</v>
      </c>
      <c r="V19" s="88">
        <v>10</v>
      </c>
      <c r="W19" s="50">
        <f t="shared" si="9"/>
        <v>10</v>
      </c>
      <c r="X19" s="50"/>
      <c r="Y19" s="50"/>
      <c r="Z19" s="50" t="s">
        <v>370</v>
      </c>
      <c r="AA19" s="182">
        <v>1436404.19</v>
      </c>
      <c r="AB19" s="211">
        <v>1436404.19</v>
      </c>
      <c r="AC19" s="115">
        <v>0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3"/>
      <c r="AP19" s="47"/>
      <c r="AQ19" s="53">
        <f t="shared" si="10"/>
        <v>1436404.19</v>
      </c>
      <c r="AR19" s="51"/>
      <c r="AS19" s="359">
        <f t="shared" si="11"/>
        <v>0</v>
      </c>
      <c r="AU19" s="55"/>
    </row>
    <row r="20" spans="1:47" s="36" customFormat="1" ht="15.75" x14ac:dyDescent="0.25">
      <c r="A20" s="34" t="s">
        <v>96</v>
      </c>
      <c r="B20" s="35" t="s">
        <v>97</v>
      </c>
      <c r="C20" s="52" t="s">
        <v>874</v>
      </c>
      <c r="D20" s="52" t="s">
        <v>873</v>
      </c>
      <c r="E20" s="423" t="s">
        <v>24</v>
      </c>
      <c r="F20" s="61" t="s">
        <v>98</v>
      </c>
      <c r="G20" s="52" t="s">
        <v>46</v>
      </c>
      <c r="H20" s="87" t="s">
        <v>370</v>
      </c>
      <c r="I20" s="422" t="s">
        <v>95</v>
      </c>
      <c r="J20" s="422"/>
      <c r="K20" s="330" t="s">
        <v>370</v>
      </c>
      <c r="L20" s="52">
        <v>44168</v>
      </c>
      <c r="M20" s="330">
        <v>44168</v>
      </c>
      <c r="N20" s="299">
        <v>44280</v>
      </c>
      <c r="O20" s="330">
        <v>44280</v>
      </c>
      <c r="P20" s="333" t="e">
        <f t="shared" si="7"/>
        <v>#VALUE!</v>
      </c>
      <c r="Q20" s="344">
        <f t="shared" si="8"/>
        <v>112</v>
      </c>
      <c r="R20" s="333">
        <f t="shared" si="8"/>
        <v>112</v>
      </c>
      <c r="S20" s="52" t="s">
        <v>370</v>
      </c>
      <c r="T20" s="329">
        <v>44284</v>
      </c>
      <c r="U20" s="87">
        <v>44524.800000000003</v>
      </c>
      <c r="V20" s="88">
        <v>8</v>
      </c>
      <c r="W20" s="50">
        <f t="shared" si="9"/>
        <v>8.0000000000000977</v>
      </c>
      <c r="X20" s="50"/>
      <c r="Y20" s="50"/>
      <c r="Z20" s="50" t="s">
        <v>370</v>
      </c>
      <c r="AA20" s="182">
        <v>648252.98</v>
      </c>
      <c r="AB20" s="211">
        <v>648252.97999999986</v>
      </c>
      <c r="AC20" s="115">
        <v>0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3"/>
      <c r="AP20" s="47"/>
      <c r="AQ20" s="53">
        <f t="shared" si="10"/>
        <v>648252.97999999986</v>
      </c>
      <c r="AR20" s="51"/>
      <c r="AS20" s="359">
        <f t="shared" si="11"/>
        <v>0</v>
      </c>
      <c r="AU20" s="55"/>
    </row>
    <row r="21" spans="1:47" s="36" customFormat="1" ht="15.75" x14ac:dyDescent="0.25">
      <c r="A21" s="34" t="s">
        <v>99</v>
      </c>
      <c r="B21" s="35" t="s">
        <v>100</v>
      </c>
      <c r="C21" s="52" t="s">
        <v>874</v>
      </c>
      <c r="D21" s="52" t="s">
        <v>873</v>
      </c>
      <c r="E21" s="423" t="s">
        <v>24</v>
      </c>
      <c r="F21" s="61" t="s">
        <v>101</v>
      </c>
      <c r="G21" s="52" t="s">
        <v>46</v>
      </c>
      <c r="H21" s="87" t="s">
        <v>370</v>
      </c>
      <c r="I21" s="422" t="s">
        <v>95</v>
      </c>
      <c r="J21" s="422"/>
      <c r="K21" s="330" t="s">
        <v>370</v>
      </c>
      <c r="L21" s="52">
        <v>44168</v>
      </c>
      <c r="M21" s="330">
        <v>44168</v>
      </c>
      <c r="N21" s="299">
        <v>44280</v>
      </c>
      <c r="O21" s="330">
        <v>44280</v>
      </c>
      <c r="P21" s="333" t="e">
        <f t="shared" si="7"/>
        <v>#VALUE!</v>
      </c>
      <c r="Q21" s="344">
        <f t="shared" si="8"/>
        <v>112</v>
      </c>
      <c r="R21" s="333">
        <f t="shared" si="8"/>
        <v>112</v>
      </c>
      <c r="S21" s="52" t="s">
        <v>370</v>
      </c>
      <c r="T21" s="329">
        <v>44284</v>
      </c>
      <c r="U21" s="87">
        <v>44524</v>
      </c>
      <c r="V21" s="88">
        <v>8</v>
      </c>
      <c r="W21" s="50">
        <f t="shared" si="9"/>
        <v>7.9734219269102988</v>
      </c>
      <c r="X21" s="50"/>
      <c r="Y21" s="50"/>
      <c r="Z21" s="50" t="s">
        <v>370</v>
      </c>
      <c r="AA21" s="182">
        <v>400186.6</v>
      </c>
      <c r="AB21" s="211">
        <v>400186.6</v>
      </c>
      <c r="AC21" s="115">
        <v>0</v>
      </c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3"/>
      <c r="AP21" s="47"/>
      <c r="AQ21" s="53">
        <f t="shared" si="10"/>
        <v>400186.6</v>
      </c>
      <c r="AR21" s="51"/>
      <c r="AS21" s="359">
        <f t="shared" si="11"/>
        <v>0</v>
      </c>
      <c r="AU21" s="55"/>
    </row>
    <row r="22" spans="1:47" s="36" customFormat="1" ht="15.75" x14ac:dyDescent="0.25">
      <c r="A22" s="336" t="s">
        <v>60</v>
      </c>
      <c r="B22" s="337" t="s">
        <v>377</v>
      </c>
      <c r="C22" s="402" t="s">
        <v>874</v>
      </c>
      <c r="D22" s="402" t="s">
        <v>631</v>
      </c>
      <c r="E22" s="425" t="s">
        <v>24</v>
      </c>
      <c r="F22" s="337" t="s">
        <v>62</v>
      </c>
      <c r="G22" s="321" t="s">
        <v>46</v>
      </c>
      <c r="H22" s="321" t="s">
        <v>370</v>
      </c>
      <c r="I22" s="402" t="s">
        <v>64</v>
      </c>
      <c r="J22" s="402"/>
      <c r="K22" s="332" t="s">
        <v>370</v>
      </c>
      <c r="L22" s="321">
        <v>44054</v>
      </c>
      <c r="M22" s="332">
        <v>44054</v>
      </c>
      <c r="N22" s="339">
        <v>44147</v>
      </c>
      <c r="O22" s="332">
        <v>44147</v>
      </c>
      <c r="P22" s="343" t="e">
        <f t="shared" si="7"/>
        <v>#VALUE!</v>
      </c>
      <c r="Q22" s="371">
        <f t="shared" si="8"/>
        <v>93</v>
      </c>
      <c r="R22" s="343">
        <f t="shared" si="8"/>
        <v>93</v>
      </c>
      <c r="S22" s="321" t="s">
        <v>370</v>
      </c>
      <c r="T22" s="332">
        <v>44119</v>
      </c>
      <c r="U22" s="321">
        <v>44531</v>
      </c>
      <c r="V22" s="322">
        <v>14</v>
      </c>
      <c r="W22" s="322">
        <f t="shared" si="9"/>
        <v>13.687707641196013</v>
      </c>
      <c r="X22" s="322"/>
      <c r="Y22" s="322"/>
      <c r="Z22" s="322" t="s">
        <v>370</v>
      </c>
      <c r="AA22" s="323">
        <v>14188397.560000001</v>
      </c>
      <c r="AB22" s="211">
        <v>13413397.559999997</v>
      </c>
      <c r="AC22" s="115">
        <v>812671.7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3"/>
      <c r="AP22" s="47"/>
      <c r="AQ22" s="53">
        <f t="shared" si="10"/>
        <v>14226069.259999996</v>
      </c>
      <c r="AR22" s="51"/>
      <c r="AS22" s="359">
        <f t="shared" si="11"/>
        <v>37671.69999999553</v>
      </c>
    </row>
    <row r="23" spans="1:47" s="36" customFormat="1" ht="15.75" x14ac:dyDescent="0.25">
      <c r="A23" s="113" t="s">
        <v>102</v>
      </c>
      <c r="B23" s="114" t="s">
        <v>385</v>
      </c>
      <c r="C23" s="52" t="s">
        <v>874</v>
      </c>
      <c r="D23" s="52" t="s">
        <v>873</v>
      </c>
      <c r="E23" s="423" t="s">
        <v>24</v>
      </c>
      <c r="F23" s="114" t="s">
        <v>626</v>
      </c>
      <c r="G23" s="52" t="s">
        <v>46</v>
      </c>
      <c r="H23" s="87" t="s">
        <v>370</v>
      </c>
      <c r="I23" s="422" t="s">
        <v>813</v>
      </c>
      <c r="J23" s="422"/>
      <c r="K23" s="330" t="s">
        <v>370</v>
      </c>
      <c r="L23" s="330" t="s">
        <v>24</v>
      </c>
      <c r="M23" s="330" t="s">
        <v>24</v>
      </c>
      <c r="N23" s="330" t="s">
        <v>24</v>
      </c>
      <c r="O23" s="330" t="s">
        <v>24</v>
      </c>
      <c r="P23" s="333" t="s">
        <v>24</v>
      </c>
      <c r="Q23" s="333" t="s">
        <v>24</v>
      </c>
      <c r="R23" s="333" t="s">
        <v>24</v>
      </c>
      <c r="S23" s="333" t="s">
        <v>320</v>
      </c>
      <c r="T23" s="333" t="s">
        <v>24</v>
      </c>
      <c r="U23" s="333" t="s">
        <v>24</v>
      </c>
      <c r="V23" s="333" t="s">
        <v>24</v>
      </c>
      <c r="W23" s="333" t="s">
        <v>24</v>
      </c>
      <c r="X23" s="333" t="s">
        <v>24</v>
      </c>
      <c r="Y23" s="333" t="s">
        <v>24</v>
      </c>
      <c r="Z23" s="333" t="s">
        <v>24</v>
      </c>
      <c r="AA23" s="182">
        <v>0</v>
      </c>
      <c r="AB23" s="211">
        <v>0</v>
      </c>
      <c r="AC23" s="115">
        <v>0</v>
      </c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47"/>
      <c r="AQ23" s="53">
        <f t="shared" si="10"/>
        <v>0</v>
      </c>
      <c r="AR23" s="51"/>
      <c r="AS23" s="359">
        <f t="shared" si="11"/>
        <v>0</v>
      </c>
      <c r="AU23" s="55"/>
    </row>
    <row r="24" spans="1:47" s="36" customFormat="1" ht="15.75" x14ac:dyDescent="0.25">
      <c r="A24" s="113" t="s">
        <v>107</v>
      </c>
      <c r="B24" s="114" t="s">
        <v>108</v>
      </c>
      <c r="C24" s="52" t="s">
        <v>874</v>
      </c>
      <c r="D24" s="52" t="s">
        <v>873</v>
      </c>
      <c r="E24" s="423" t="s">
        <v>24</v>
      </c>
      <c r="F24" s="113" t="s">
        <v>109</v>
      </c>
      <c r="G24" s="52" t="s">
        <v>46</v>
      </c>
      <c r="H24" s="87" t="s">
        <v>370</v>
      </c>
      <c r="I24" s="422" t="s">
        <v>813</v>
      </c>
      <c r="J24" s="422"/>
      <c r="K24" s="330" t="s">
        <v>370</v>
      </c>
      <c r="L24" s="52">
        <v>44417</v>
      </c>
      <c r="M24" s="330">
        <v>44417</v>
      </c>
      <c r="N24" s="299">
        <v>44418</v>
      </c>
      <c r="O24" s="330">
        <v>44418</v>
      </c>
      <c r="P24" s="333" t="e">
        <f t="shared" si="7"/>
        <v>#VALUE!</v>
      </c>
      <c r="Q24" s="344">
        <f>N24-L24</f>
        <v>1</v>
      </c>
      <c r="R24" s="333">
        <f>O24-M24</f>
        <v>1</v>
      </c>
      <c r="S24" s="52" t="s">
        <v>370</v>
      </c>
      <c r="T24" s="329">
        <v>44470</v>
      </c>
      <c r="U24" s="490">
        <v>44628</v>
      </c>
      <c r="V24" s="50">
        <v>4</v>
      </c>
      <c r="W24" s="50">
        <f>((U24-T24)/7)/4.3</f>
        <v>5.249169435215947</v>
      </c>
      <c r="X24" s="50"/>
      <c r="Y24" s="50"/>
      <c r="Z24" s="50" t="s">
        <v>370</v>
      </c>
      <c r="AA24" s="182">
        <v>295011.28999999998</v>
      </c>
      <c r="AB24" s="211">
        <v>264663.84999999998</v>
      </c>
      <c r="AC24" s="115">
        <v>0</v>
      </c>
      <c r="AD24" s="275">
        <v>10000</v>
      </c>
      <c r="AE24" s="275">
        <v>9931.01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53"/>
      <c r="AP24" s="47"/>
      <c r="AQ24" s="53">
        <f t="shared" si="10"/>
        <v>284594.86</v>
      </c>
      <c r="AR24" s="51"/>
      <c r="AS24" s="359">
        <f t="shared" si="11"/>
        <v>-10416.429999999993</v>
      </c>
      <c r="AU24" s="55"/>
    </row>
    <row r="25" spans="1:47" s="36" customFormat="1" ht="15.75" x14ac:dyDescent="0.25">
      <c r="A25" s="99"/>
      <c r="B25" s="100"/>
      <c r="C25" s="91"/>
      <c r="D25" s="445"/>
      <c r="E25" s="446"/>
      <c r="F25" s="100"/>
      <c r="G25" s="91"/>
      <c r="H25" s="91"/>
      <c r="I25" s="429"/>
      <c r="J25" s="429"/>
      <c r="K25" s="91"/>
      <c r="L25" s="91"/>
      <c r="M25" s="91"/>
      <c r="N25" s="91"/>
      <c r="O25" s="91"/>
      <c r="P25" s="92"/>
      <c r="Q25" s="91"/>
      <c r="R25" s="92"/>
      <c r="S25" s="91"/>
      <c r="T25" s="91"/>
      <c r="U25" s="91"/>
      <c r="V25" s="92"/>
      <c r="W25" s="92"/>
      <c r="X25" s="92"/>
      <c r="Y25" s="92"/>
      <c r="Z25" s="92"/>
      <c r="AA25" s="59">
        <f t="shared" ref="AA25:AO25" si="12">SUBTOTAL(9,AA16:AA24)</f>
        <v>20251774.560000002</v>
      </c>
      <c r="AB25" s="59">
        <f t="shared" si="12"/>
        <v>19415402.119999997</v>
      </c>
      <c r="AC25" s="59">
        <f t="shared" si="12"/>
        <v>812671.7</v>
      </c>
      <c r="AD25" s="59">
        <f t="shared" si="12"/>
        <v>10000</v>
      </c>
      <c r="AE25" s="59">
        <f t="shared" si="12"/>
        <v>9931.01</v>
      </c>
      <c r="AF25" s="59">
        <f t="shared" si="12"/>
        <v>0</v>
      </c>
      <c r="AG25" s="59">
        <f t="shared" si="12"/>
        <v>0</v>
      </c>
      <c r="AH25" s="59">
        <f t="shared" si="12"/>
        <v>0</v>
      </c>
      <c r="AI25" s="59">
        <f t="shared" si="12"/>
        <v>0</v>
      </c>
      <c r="AJ25" s="59">
        <f t="shared" si="12"/>
        <v>0</v>
      </c>
      <c r="AK25" s="59">
        <f t="shared" si="12"/>
        <v>0</v>
      </c>
      <c r="AL25" s="59">
        <f t="shared" si="12"/>
        <v>0</v>
      </c>
      <c r="AM25" s="59">
        <f t="shared" si="12"/>
        <v>0</v>
      </c>
      <c r="AN25" s="59">
        <f t="shared" si="12"/>
        <v>0</v>
      </c>
      <c r="AO25" s="59">
        <f t="shared" si="12"/>
        <v>0</v>
      </c>
      <c r="AP25" s="47"/>
      <c r="AQ25" s="59">
        <f>SUBTOTAL(9,AQ16:AQ24)</f>
        <v>20248004.829999994</v>
      </c>
      <c r="AR25" s="51"/>
      <c r="AS25" s="359">
        <f t="shared" si="11"/>
        <v>-3769.7300000078976</v>
      </c>
      <c r="AU25" s="55"/>
    </row>
    <row r="26" spans="1:47" s="36" customFormat="1" ht="15.75" x14ac:dyDescent="0.25">
      <c r="A26" s="382" t="s">
        <v>569</v>
      </c>
      <c r="B26" s="387"/>
      <c r="C26" s="102" t="s">
        <v>887</v>
      </c>
      <c r="D26" s="102"/>
      <c r="E26" s="102"/>
      <c r="F26" s="381"/>
      <c r="G26" s="102"/>
      <c r="H26" s="102"/>
      <c r="I26" s="102"/>
      <c r="J26" s="102"/>
      <c r="K26" s="102"/>
      <c r="L26" s="102"/>
      <c r="M26" s="276"/>
      <c r="N26" s="276"/>
      <c r="O26" s="276"/>
      <c r="P26" s="84"/>
      <c r="Q26" s="276"/>
      <c r="R26" s="84"/>
      <c r="S26" s="102"/>
      <c r="T26" s="102"/>
      <c r="U26" s="102"/>
      <c r="V26" s="84"/>
      <c r="W26" s="102"/>
      <c r="X26" s="102"/>
      <c r="Y26" s="102"/>
      <c r="Z26" s="102"/>
      <c r="AA26" s="10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47"/>
      <c r="AQ26" s="85"/>
      <c r="AR26" s="51"/>
      <c r="AS26" s="359">
        <f t="shared" si="11"/>
        <v>0</v>
      </c>
    </row>
    <row r="27" spans="1:47" s="36" customFormat="1" ht="15.75" x14ac:dyDescent="0.25">
      <c r="A27" s="366" t="s">
        <v>134</v>
      </c>
      <c r="B27" s="367" t="s">
        <v>135</v>
      </c>
      <c r="C27" s="321" t="s">
        <v>887</v>
      </c>
      <c r="D27" s="321" t="s">
        <v>566</v>
      </c>
      <c r="E27" s="321" t="s">
        <v>24</v>
      </c>
      <c r="F27" s="366" t="s">
        <v>136</v>
      </c>
      <c r="G27" s="321" t="s">
        <v>46</v>
      </c>
      <c r="H27" s="321" t="s">
        <v>370</v>
      </c>
      <c r="I27" s="321" t="s">
        <v>809</v>
      </c>
      <c r="J27" s="321"/>
      <c r="K27" s="332" t="s">
        <v>24</v>
      </c>
      <c r="L27" s="321">
        <v>44174</v>
      </c>
      <c r="M27" s="332">
        <v>44174</v>
      </c>
      <c r="N27" s="339">
        <v>44223</v>
      </c>
      <c r="O27" s="332">
        <v>44223</v>
      </c>
      <c r="P27" s="343" t="e">
        <f t="shared" ref="P27:P28" si="13">O27-K27</f>
        <v>#VALUE!</v>
      </c>
      <c r="Q27" s="371">
        <f>N27-L27</f>
        <v>49</v>
      </c>
      <c r="R27" s="343">
        <f>O27-M27</f>
        <v>49</v>
      </c>
      <c r="S27" s="321" t="s">
        <v>370</v>
      </c>
      <c r="T27" s="332">
        <v>44382</v>
      </c>
      <c r="U27" s="321">
        <v>44540</v>
      </c>
      <c r="V27" s="322">
        <v>5</v>
      </c>
      <c r="W27" s="322">
        <f>((U27-T27)/7)/4.3</f>
        <v>5.249169435215947</v>
      </c>
      <c r="X27" s="322"/>
      <c r="Y27" s="322"/>
      <c r="Z27" s="322" t="s">
        <v>370</v>
      </c>
      <c r="AA27" s="323">
        <v>1006578.9</v>
      </c>
      <c r="AB27" s="211">
        <v>1006578.9</v>
      </c>
      <c r="AC27" s="115">
        <v>0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47"/>
      <c r="AQ27" s="53">
        <f>SUM(AB27:AP27)</f>
        <v>1006578.9</v>
      </c>
      <c r="AR27" s="51"/>
      <c r="AS27" s="359">
        <f t="shared" si="11"/>
        <v>0</v>
      </c>
    </row>
    <row r="28" spans="1:47" s="36" customFormat="1" ht="15.75" x14ac:dyDescent="0.25">
      <c r="A28" s="319" t="s">
        <v>226</v>
      </c>
      <c r="B28" s="319" t="s">
        <v>442</v>
      </c>
      <c r="C28" s="402" t="s">
        <v>887</v>
      </c>
      <c r="D28" s="402" t="s">
        <v>565</v>
      </c>
      <c r="E28" s="472" t="s">
        <v>24</v>
      </c>
      <c r="F28" s="320" t="s">
        <v>656</v>
      </c>
      <c r="G28" s="321" t="s">
        <v>46</v>
      </c>
      <c r="H28" s="321" t="s">
        <v>370</v>
      </c>
      <c r="I28" s="428" t="s">
        <v>809</v>
      </c>
      <c r="J28" s="428"/>
      <c r="K28" s="332" t="s">
        <v>24</v>
      </c>
      <c r="L28" s="321">
        <v>44295</v>
      </c>
      <c r="M28" s="332">
        <v>44295</v>
      </c>
      <c r="N28" s="339">
        <v>44357</v>
      </c>
      <c r="O28" s="332">
        <v>44357</v>
      </c>
      <c r="P28" s="343" t="e">
        <f t="shared" si="13"/>
        <v>#VALUE!</v>
      </c>
      <c r="Q28" s="371">
        <f>N28-L28</f>
        <v>62</v>
      </c>
      <c r="R28" s="343">
        <f>O28-M28</f>
        <v>62</v>
      </c>
      <c r="S28" s="321" t="s">
        <v>370</v>
      </c>
      <c r="T28" s="332">
        <v>44387</v>
      </c>
      <c r="U28" s="321">
        <v>44540</v>
      </c>
      <c r="V28" s="322">
        <v>5</v>
      </c>
      <c r="W28" s="322">
        <f>((U28-T28)/7)/4.3</f>
        <v>5.0830564784053163</v>
      </c>
      <c r="X28" s="322"/>
      <c r="Y28" s="322"/>
      <c r="Z28" s="322" t="s">
        <v>370</v>
      </c>
      <c r="AA28" s="323">
        <v>2315782.2000000002</v>
      </c>
      <c r="AB28" s="211">
        <v>2304152.1999999997</v>
      </c>
      <c r="AC28" s="115">
        <v>38625.5</v>
      </c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3"/>
      <c r="AP28" s="47"/>
      <c r="AQ28" s="53">
        <f>SUM(AB28:AP28)</f>
        <v>2342777.6999999997</v>
      </c>
      <c r="AR28" s="51"/>
      <c r="AS28" s="359">
        <f t="shared" si="11"/>
        <v>26995.499999999534</v>
      </c>
    </row>
    <row r="29" spans="1:47" s="36" customFormat="1" ht="15.75" x14ac:dyDescent="0.25">
      <c r="A29" s="99"/>
      <c r="B29" s="99"/>
      <c r="C29" s="91"/>
      <c r="D29" s="91"/>
      <c r="E29" s="91"/>
      <c r="F29" s="99"/>
      <c r="G29" s="91"/>
      <c r="H29" s="91"/>
      <c r="I29" s="429"/>
      <c r="J29" s="429"/>
      <c r="K29" s="91"/>
      <c r="L29" s="91"/>
      <c r="M29" s="91"/>
      <c r="N29" s="91"/>
      <c r="O29" s="91"/>
      <c r="P29" s="92"/>
      <c r="Q29" s="91"/>
      <c r="R29" s="92"/>
      <c r="S29" s="91"/>
      <c r="T29" s="91"/>
      <c r="U29" s="91"/>
      <c r="V29" s="92"/>
      <c r="W29" s="91"/>
      <c r="X29" s="92"/>
      <c r="Y29" s="92"/>
      <c r="Z29" s="92"/>
      <c r="AA29" s="59">
        <f t="shared" ref="AA29:AO29" si="14">SUBTOTAL(9,AA27:AA28)</f>
        <v>3322361.1</v>
      </c>
      <c r="AB29" s="59">
        <f t="shared" si="14"/>
        <v>3310731.0999999996</v>
      </c>
      <c r="AC29" s="59">
        <f t="shared" si="14"/>
        <v>38625.5</v>
      </c>
      <c r="AD29" s="59">
        <f t="shared" si="14"/>
        <v>0</v>
      </c>
      <c r="AE29" s="59">
        <f t="shared" si="14"/>
        <v>0</v>
      </c>
      <c r="AF29" s="59">
        <f t="shared" si="14"/>
        <v>0</v>
      </c>
      <c r="AG29" s="59">
        <f t="shared" si="14"/>
        <v>0</v>
      </c>
      <c r="AH29" s="59">
        <f t="shared" si="14"/>
        <v>0</v>
      </c>
      <c r="AI29" s="59">
        <f t="shared" si="14"/>
        <v>0</v>
      </c>
      <c r="AJ29" s="59">
        <f t="shared" si="14"/>
        <v>0</v>
      </c>
      <c r="AK29" s="59">
        <f t="shared" si="14"/>
        <v>0</v>
      </c>
      <c r="AL29" s="59">
        <f t="shared" si="14"/>
        <v>0</v>
      </c>
      <c r="AM29" s="59">
        <f t="shared" si="14"/>
        <v>0</v>
      </c>
      <c r="AN29" s="59">
        <f t="shared" si="14"/>
        <v>0</v>
      </c>
      <c r="AO29" s="59">
        <f t="shared" si="14"/>
        <v>0</v>
      </c>
      <c r="AP29" s="47"/>
      <c r="AQ29" s="59">
        <f>SUBTOTAL(9,AQ27:AQ28)</f>
        <v>3349356.5999999996</v>
      </c>
      <c r="AR29" s="51"/>
      <c r="AS29" s="359">
        <f t="shared" si="11"/>
        <v>26995.499999999534</v>
      </c>
    </row>
    <row r="30" spans="1:47" s="36" customFormat="1" ht="15.75" x14ac:dyDescent="0.25">
      <c r="A30" s="381" t="s">
        <v>761</v>
      </c>
      <c r="B30" s="381"/>
      <c r="C30" s="101" t="s">
        <v>884</v>
      </c>
      <c r="D30" s="101"/>
      <c r="E30" s="101"/>
      <c r="F30" s="107"/>
      <c r="G30" s="102"/>
      <c r="H30" s="102"/>
      <c r="I30" s="101"/>
      <c r="J30" s="101"/>
      <c r="K30" s="102"/>
      <c r="L30" s="102"/>
      <c r="M30" s="276"/>
      <c r="N30" s="276"/>
      <c r="O30" s="276"/>
      <c r="P30" s="84"/>
      <c r="Q30" s="276"/>
      <c r="R30" s="84"/>
      <c r="S30" s="102"/>
      <c r="T30" s="102"/>
      <c r="U30" s="102"/>
      <c r="V30" s="84"/>
      <c r="W30" s="102"/>
      <c r="X30" s="102"/>
      <c r="Y30" s="102"/>
      <c r="Z30" s="102"/>
      <c r="AA30" s="102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47"/>
      <c r="AQ30" s="85"/>
      <c r="AR30" s="51"/>
      <c r="AS30" s="359">
        <f t="shared" si="11"/>
        <v>0</v>
      </c>
      <c r="AU30" s="55"/>
    </row>
    <row r="31" spans="1:47" s="36" customFormat="1" ht="15.75" x14ac:dyDescent="0.25">
      <c r="A31" s="374" t="s">
        <v>203</v>
      </c>
      <c r="B31" s="374" t="s">
        <v>204</v>
      </c>
      <c r="C31" s="87" t="s">
        <v>884</v>
      </c>
      <c r="D31" s="87" t="s">
        <v>885</v>
      </c>
      <c r="E31" s="434" t="s">
        <v>893</v>
      </c>
      <c r="F31" s="393" t="s">
        <v>684</v>
      </c>
      <c r="G31" s="87" t="s">
        <v>46</v>
      </c>
      <c r="H31" s="87" t="s">
        <v>370</v>
      </c>
      <c r="I31" s="394" t="s">
        <v>815</v>
      </c>
      <c r="J31" s="394"/>
      <c r="K31" s="330" t="s">
        <v>370</v>
      </c>
      <c r="L31" s="52">
        <v>44369</v>
      </c>
      <c r="M31" s="330">
        <v>44369</v>
      </c>
      <c r="N31" s="299">
        <v>44461</v>
      </c>
      <c r="O31" s="329">
        <v>44461</v>
      </c>
      <c r="P31" s="346" t="e">
        <f>O31-K31</f>
        <v>#VALUE!</v>
      </c>
      <c r="Q31" s="344">
        <f>N31-L31</f>
        <v>92</v>
      </c>
      <c r="R31" s="333">
        <f>O31-M31</f>
        <v>92</v>
      </c>
      <c r="S31" s="52" t="s">
        <v>370</v>
      </c>
      <c r="T31" s="377">
        <v>44399</v>
      </c>
      <c r="U31" s="52">
        <v>44880</v>
      </c>
      <c r="V31" s="50">
        <v>13</v>
      </c>
      <c r="W31" s="50">
        <f>((U31-T31)/7)/4.3</f>
        <v>15.980066445182723</v>
      </c>
      <c r="X31" s="50"/>
      <c r="Y31" s="50"/>
      <c r="Z31" s="50" t="s">
        <v>370</v>
      </c>
      <c r="AA31" s="182">
        <v>12193746.800000001</v>
      </c>
      <c r="AB31" s="211">
        <v>3069014.06</v>
      </c>
      <c r="AC31" s="115">
        <v>532188.35</v>
      </c>
      <c r="AD31" s="275">
        <v>1000000</v>
      </c>
      <c r="AE31" s="275">
        <v>1000000</v>
      </c>
      <c r="AF31" s="275">
        <v>1000000</v>
      </c>
      <c r="AG31" s="275">
        <v>468583.59</v>
      </c>
      <c r="AH31" s="275">
        <v>1000000</v>
      </c>
      <c r="AI31" s="275">
        <v>1000000</v>
      </c>
      <c r="AJ31" s="275">
        <v>1000000</v>
      </c>
      <c r="AK31" s="275">
        <v>1000000</v>
      </c>
      <c r="AL31" s="275">
        <v>656149.15</v>
      </c>
      <c r="AM31" s="58"/>
      <c r="AN31" s="58"/>
      <c r="AO31" s="53"/>
      <c r="AP31" s="47"/>
      <c r="AQ31" s="53">
        <f>SUM(AB31:AP31)</f>
        <v>11725935.15</v>
      </c>
      <c r="AR31" s="51"/>
      <c r="AS31" s="359">
        <f t="shared" si="11"/>
        <v>-467811.65000000037</v>
      </c>
    </row>
    <row r="32" spans="1:47" s="36" customFormat="1" ht="15.75" x14ac:dyDescent="0.25">
      <c r="A32" s="99"/>
      <c r="B32" s="99"/>
      <c r="C32" s="91"/>
      <c r="D32" s="91"/>
      <c r="E32" s="467"/>
      <c r="F32" s="391"/>
      <c r="G32" s="91"/>
      <c r="H32" s="91"/>
      <c r="I32" s="395"/>
      <c r="J32" s="395"/>
      <c r="K32" s="91"/>
      <c r="L32" s="91"/>
      <c r="M32" s="91"/>
      <c r="N32" s="91"/>
      <c r="O32" s="91"/>
      <c r="P32" s="92"/>
      <c r="Q32" s="91"/>
      <c r="R32" s="92"/>
      <c r="S32" s="91"/>
      <c r="T32" s="91"/>
      <c r="U32" s="91"/>
      <c r="V32" s="92"/>
      <c r="W32" s="91"/>
      <c r="X32" s="92"/>
      <c r="Y32" s="92"/>
      <c r="Z32" s="92"/>
      <c r="AA32" s="59">
        <f t="shared" ref="AA32:AO32" si="15">SUBTOTAL(9,AA31)</f>
        <v>12193746.800000001</v>
      </c>
      <c r="AB32" s="59">
        <f t="shared" si="15"/>
        <v>3069014.06</v>
      </c>
      <c r="AC32" s="59">
        <f t="shared" si="15"/>
        <v>532188.35</v>
      </c>
      <c r="AD32" s="59">
        <f t="shared" si="15"/>
        <v>1000000</v>
      </c>
      <c r="AE32" s="59">
        <f t="shared" si="15"/>
        <v>1000000</v>
      </c>
      <c r="AF32" s="59">
        <f t="shared" si="15"/>
        <v>1000000</v>
      </c>
      <c r="AG32" s="59">
        <f t="shared" si="15"/>
        <v>468583.59</v>
      </c>
      <c r="AH32" s="59">
        <f t="shared" si="15"/>
        <v>1000000</v>
      </c>
      <c r="AI32" s="59">
        <f t="shared" si="15"/>
        <v>1000000</v>
      </c>
      <c r="AJ32" s="59">
        <f t="shared" si="15"/>
        <v>1000000</v>
      </c>
      <c r="AK32" s="59">
        <f t="shared" si="15"/>
        <v>1000000</v>
      </c>
      <c r="AL32" s="59">
        <f t="shared" si="15"/>
        <v>656149.15</v>
      </c>
      <c r="AM32" s="59">
        <f t="shared" si="15"/>
        <v>0</v>
      </c>
      <c r="AN32" s="59">
        <f t="shared" si="15"/>
        <v>0</v>
      </c>
      <c r="AO32" s="59">
        <f t="shared" si="15"/>
        <v>0</v>
      </c>
      <c r="AP32" s="47"/>
      <c r="AQ32" s="59">
        <f>SUBTOTAL(9,AQ31)</f>
        <v>11725935.15</v>
      </c>
      <c r="AR32" s="51"/>
      <c r="AS32" s="359">
        <f t="shared" si="11"/>
        <v>-467811.65000000037</v>
      </c>
    </row>
    <row r="33" spans="1:47" s="36" customFormat="1" ht="15.75" x14ac:dyDescent="0.25">
      <c r="A33" s="381" t="s">
        <v>52</v>
      </c>
      <c r="B33" s="381"/>
      <c r="C33" s="102" t="s">
        <v>875</v>
      </c>
      <c r="D33" s="102"/>
      <c r="E33" s="433"/>
      <c r="F33" s="387"/>
      <c r="G33" s="102"/>
      <c r="H33" s="102"/>
      <c r="I33" s="433"/>
      <c r="J33" s="433"/>
      <c r="K33" s="102"/>
      <c r="L33" s="102"/>
      <c r="M33" s="276"/>
      <c r="N33" s="276"/>
      <c r="O33" s="276"/>
      <c r="P33" s="84"/>
      <c r="Q33" s="276"/>
      <c r="R33" s="84"/>
      <c r="S33" s="102"/>
      <c r="T33" s="102"/>
      <c r="U33" s="102"/>
      <c r="V33" s="84"/>
      <c r="W33" s="102"/>
      <c r="X33" s="102"/>
      <c r="Y33" s="102"/>
      <c r="Z33" s="102"/>
      <c r="AA33" s="102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47"/>
      <c r="AQ33" s="85"/>
      <c r="AR33" s="51"/>
      <c r="AS33" s="359">
        <f t="shared" si="11"/>
        <v>0</v>
      </c>
    </row>
    <row r="34" spans="1:47" s="36" customFormat="1" ht="15.75" x14ac:dyDescent="0.25">
      <c r="A34" s="34" t="s">
        <v>185</v>
      </c>
      <c r="B34" s="34" t="s">
        <v>622</v>
      </c>
      <c r="C34" s="394" t="s">
        <v>875</v>
      </c>
      <c r="D34" s="394" t="s">
        <v>402</v>
      </c>
      <c r="E34" s="394" t="s">
        <v>24</v>
      </c>
      <c r="F34" s="396" t="s">
        <v>696</v>
      </c>
      <c r="G34" s="52" t="s">
        <v>46</v>
      </c>
      <c r="H34" s="87" t="s">
        <v>370</v>
      </c>
      <c r="I34" s="434" t="s">
        <v>324</v>
      </c>
      <c r="J34" s="434"/>
      <c r="K34" s="330" t="s">
        <v>370</v>
      </c>
      <c r="L34" s="52">
        <v>44328</v>
      </c>
      <c r="M34" s="330">
        <v>44328</v>
      </c>
      <c r="N34" s="299">
        <v>44418</v>
      </c>
      <c r="O34" s="330">
        <v>44418</v>
      </c>
      <c r="P34" s="333" t="e">
        <f t="shared" ref="P34:P39" si="16">O34-K34</f>
        <v>#VALUE!</v>
      </c>
      <c r="Q34" s="301">
        <f>N34-L34</f>
        <v>90</v>
      </c>
      <c r="R34" s="333">
        <f>O34-M34</f>
        <v>90</v>
      </c>
      <c r="S34" s="52" t="s">
        <v>370</v>
      </c>
      <c r="T34" s="330">
        <v>44424</v>
      </c>
      <c r="U34" s="87">
        <v>44701</v>
      </c>
      <c r="V34" s="50">
        <v>9</v>
      </c>
      <c r="W34" s="50">
        <f t="shared" ref="W34:W39" si="17">((U34-T34)/7)/4.3</f>
        <v>9.2026578073089702</v>
      </c>
      <c r="X34" s="50"/>
      <c r="Y34" s="50"/>
      <c r="Z34" s="50" t="s">
        <v>370</v>
      </c>
      <c r="AA34" s="182">
        <v>1961015.83</v>
      </c>
      <c r="AB34" s="211">
        <v>952423.7300000001</v>
      </c>
      <c r="AC34" s="115">
        <v>173273.61</v>
      </c>
      <c r="AD34" s="275">
        <v>200000</v>
      </c>
      <c r="AE34" s="275">
        <v>200000</v>
      </c>
      <c r="AF34" s="275">
        <v>200000</v>
      </c>
      <c r="AG34" s="275">
        <v>150000</v>
      </c>
      <c r="AH34" s="275">
        <v>52341.33</v>
      </c>
      <c r="AI34" s="58"/>
      <c r="AJ34" s="58"/>
      <c r="AK34" s="58"/>
      <c r="AL34" s="58"/>
      <c r="AM34" s="275">
        <v>165000</v>
      </c>
      <c r="AN34" s="58"/>
      <c r="AO34" s="53"/>
      <c r="AP34" s="47"/>
      <c r="AQ34" s="53">
        <f t="shared" ref="AQ34:AQ39" si="18">SUM(AB34:AP34)</f>
        <v>2093038.6700000002</v>
      </c>
      <c r="AR34" s="51"/>
      <c r="AS34" s="359">
        <f t="shared" si="11"/>
        <v>132022.84000000008</v>
      </c>
      <c r="AU34" s="55"/>
    </row>
    <row r="35" spans="1:47" s="36" customFormat="1" ht="15.75" x14ac:dyDescent="0.25">
      <c r="A35" s="113" t="s">
        <v>593</v>
      </c>
      <c r="B35" s="114" t="s">
        <v>774</v>
      </c>
      <c r="C35" s="87" t="s">
        <v>875</v>
      </c>
      <c r="D35" s="87" t="s">
        <v>402</v>
      </c>
      <c r="E35" s="394" t="s">
        <v>24</v>
      </c>
      <c r="F35" s="114" t="s">
        <v>695</v>
      </c>
      <c r="G35" s="87" t="s">
        <v>46</v>
      </c>
      <c r="H35" s="87" t="s">
        <v>370</v>
      </c>
      <c r="I35" s="432" t="s">
        <v>70</v>
      </c>
      <c r="J35" s="432"/>
      <c r="K35" s="329" t="s">
        <v>370</v>
      </c>
      <c r="L35" s="87">
        <v>44489</v>
      </c>
      <c r="M35" s="329">
        <v>44489</v>
      </c>
      <c r="N35" s="298">
        <v>44540</v>
      </c>
      <c r="O35" s="329">
        <v>44540</v>
      </c>
      <c r="P35" s="346" t="e">
        <f t="shared" si="16"/>
        <v>#VALUE!</v>
      </c>
      <c r="Q35" s="301">
        <f>N35-L35</f>
        <v>51</v>
      </c>
      <c r="R35" s="346">
        <f>O35-M35</f>
        <v>51</v>
      </c>
      <c r="S35" s="87" t="s">
        <v>370</v>
      </c>
      <c r="T35" s="329">
        <v>44552</v>
      </c>
      <c r="U35" s="52">
        <v>44742</v>
      </c>
      <c r="V35" s="50">
        <v>9</v>
      </c>
      <c r="W35" s="50">
        <f t="shared" si="17"/>
        <v>6.3122923588039868</v>
      </c>
      <c r="X35" s="50"/>
      <c r="Y35" s="50"/>
      <c r="Z35" s="50" t="s">
        <v>370</v>
      </c>
      <c r="AA35" s="182">
        <v>762952.96</v>
      </c>
      <c r="AB35" s="211">
        <v>92185.59</v>
      </c>
      <c r="AC35" s="115">
        <v>111281.22</v>
      </c>
      <c r="AD35" s="275">
        <v>200000</v>
      </c>
      <c r="AE35" s="275">
        <v>200000</v>
      </c>
      <c r="AF35" s="275">
        <v>225000</v>
      </c>
      <c r="AG35" s="275">
        <v>250000</v>
      </c>
      <c r="AH35" s="275">
        <v>200000</v>
      </c>
      <c r="AI35" s="58"/>
      <c r="AJ35" s="58"/>
      <c r="AK35" s="58"/>
      <c r="AL35" s="58"/>
      <c r="AM35" s="58"/>
      <c r="AN35" s="58"/>
      <c r="AO35" s="53"/>
      <c r="AP35" s="47"/>
      <c r="AQ35" s="53">
        <f t="shared" si="18"/>
        <v>1278466.81</v>
      </c>
      <c r="AR35" s="51"/>
      <c r="AS35" s="359">
        <f t="shared" si="11"/>
        <v>515513.85000000009</v>
      </c>
      <c r="AU35" s="55"/>
    </row>
    <row r="36" spans="1:47" s="36" customFormat="1" ht="15.75" x14ac:dyDescent="0.25">
      <c r="A36" s="113" t="s">
        <v>594</v>
      </c>
      <c r="B36" s="114" t="s">
        <v>595</v>
      </c>
      <c r="C36" s="52" t="s">
        <v>875</v>
      </c>
      <c r="D36" s="52" t="s">
        <v>24</v>
      </c>
      <c r="E36" s="422" t="s">
        <v>24</v>
      </c>
      <c r="F36" s="35"/>
      <c r="G36" s="52" t="s">
        <v>46</v>
      </c>
      <c r="H36" s="87" t="s">
        <v>370</v>
      </c>
      <c r="I36" s="422" t="s">
        <v>816</v>
      </c>
      <c r="J36" s="422"/>
      <c r="K36" s="330" t="s">
        <v>370</v>
      </c>
      <c r="L36" s="333" t="s">
        <v>24</v>
      </c>
      <c r="M36" s="333" t="s">
        <v>24</v>
      </c>
      <c r="N36" s="333" t="s">
        <v>24</v>
      </c>
      <c r="O36" s="333" t="s">
        <v>24</v>
      </c>
      <c r="P36" s="333" t="s">
        <v>24</v>
      </c>
      <c r="Q36" s="346" t="s">
        <v>24</v>
      </c>
      <c r="R36" s="333" t="s">
        <v>24</v>
      </c>
      <c r="S36" s="52" t="s">
        <v>320</v>
      </c>
      <c r="T36" s="52"/>
      <c r="U36" s="52"/>
      <c r="V36" s="50">
        <v>0</v>
      </c>
      <c r="W36" s="439">
        <f t="shared" si="17"/>
        <v>0</v>
      </c>
      <c r="X36" s="50"/>
      <c r="Y36" s="50"/>
      <c r="Z36" s="50" t="s">
        <v>320</v>
      </c>
      <c r="AA36" s="182">
        <v>0</v>
      </c>
      <c r="AB36" s="211">
        <v>0</v>
      </c>
      <c r="AC36" s="115">
        <v>0</v>
      </c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3"/>
      <c r="AP36" s="47"/>
      <c r="AQ36" s="53">
        <f t="shared" si="18"/>
        <v>0</v>
      </c>
      <c r="AR36" s="51"/>
      <c r="AS36" s="359">
        <f t="shared" si="11"/>
        <v>0</v>
      </c>
      <c r="AU36" s="55"/>
    </row>
    <row r="37" spans="1:47" s="36" customFormat="1" ht="15.75" x14ac:dyDescent="0.25">
      <c r="A37" s="386" t="s">
        <v>724</v>
      </c>
      <c r="B37" s="393" t="s">
        <v>654</v>
      </c>
      <c r="C37" s="52" t="s">
        <v>875</v>
      </c>
      <c r="D37" s="52" t="s">
        <v>873</v>
      </c>
      <c r="E37" s="422" t="s">
        <v>24</v>
      </c>
      <c r="F37" s="61"/>
      <c r="G37" s="52" t="s">
        <v>46</v>
      </c>
      <c r="H37" s="52" t="s">
        <v>370</v>
      </c>
      <c r="I37" s="422" t="s">
        <v>827</v>
      </c>
      <c r="J37" s="422"/>
      <c r="K37" s="329">
        <v>44574</v>
      </c>
      <c r="L37" s="87">
        <v>44543</v>
      </c>
      <c r="M37" s="329">
        <v>44575</v>
      </c>
      <c r="N37" s="87">
        <v>44578</v>
      </c>
      <c r="O37" s="486">
        <v>44615</v>
      </c>
      <c r="P37" s="493">
        <f t="shared" si="16"/>
        <v>41</v>
      </c>
      <c r="Q37" s="50">
        <f t="shared" ref="Q37:R39" si="19">N37-L37</f>
        <v>35</v>
      </c>
      <c r="R37" s="346">
        <f t="shared" si="19"/>
        <v>40</v>
      </c>
      <c r="S37" s="52" t="s">
        <v>370</v>
      </c>
      <c r="T37" s="377">
        <v>44620</v>
      </c>
      <c r="U37" s="87">
        <v>44820</v>
      </c>
      <c r="V37" s="50">
        <v>9.0000000000000497</v>
      </c>
      <c r="W37" s="50">
        <f t="shared" si="17"/>
        <v>6.6445182724252501</v>
      </c>
      <c r="X37" s="50"/>
      <c r="Y37" s="50"/>
      <c r="Z37" s="50"/>
      <c r="AA37" s="53">
        <v>1500000</v>
      </c>
      <c r="AB37" s="211">
        <v>0</v>
      </c>
      <c r="AC37" s="115">
        <v>0</v>
      </c>
      <c r="AD37" s="275"/>
      <c r="AE37" s="275">
        <v>50000</v>
      </c>
      <c r="AF37" s="275">
        <v>100000</v>
      </c>
      <c r="AG37" s="275">
        <v>150000</v>
      </c>
      <c r="AH37" s="275">
        <v>175000</v>
      </c>
      <c r="AI37" s="275">
        <v>175000</v>
      </c>
      <c r="AJ37" s="275">
        <v>175000</v>
      </c>
      <c r="AK37" s="275">
        <v>175000</v>
      </c>
      <c r="AL37" s="275">
        <v>175000</v>
      </c>
      <c r="AM37" s="275">
        <v>175000</v>
      </c>
      <c r="AN37" s="275">
        <v>150000</v>
      </c>
      <c r="AO37" s="53"/>
      <c r="AP37" s="47"/>
      <c r="AQ37" s="53">
        <f t="shared" si="18"/>
        <v>1500000</v>
      </c>
      <c r="AR37" s="51"/>
      <c r="AS37" s="359">
        <f t="shared" si="11"/>
        <v>0</v>
      </c>
    </row>
    <row r="38" spans="1:47" s="36" customFormat="1" ht="15.75" x14ac:dyDescent="0.25">
      <c r="A38" s="374" t="s">
        <v>725</v>
      </c>
      <c r="B38" s="375" t="s">
        <v>896</v>
      </c>
      <c r="C38" s="52" t="s">
        <v>875</v>
      </c>
      <c r="D38" s="52" t="s">
        <v>873</v>
      </c>
      <c r="E38" s="422" t="s">
        <v>24</v>
      </c>
      <c r="F38" s="34"/>
      <c r="G38" s="52" t="s">
        <v>623</v>
      </c>
      <c r="H38" s="52" t="s">
        <v>320</v>
      </c>
      <c r="I38" s="52" t="s">
        <v>827</v>
      </c>
      <c r="J38" s="52"/>
      <c r="K38" s="329">
        <v>44574</v>
      </c>
      <c r="L38" s="87">
        <v>44575</v>
      </c>
      <c r="M38" s="329">
        <v>44610</v>
      </c>
      <c r="N38" s="87">
        <v>44620</v>
      </c>
      <c r="O38" s="87">
        <f>M38+30</f>
        <v>44640</v>
      </c>
      <c r="P38" s="88">
        <f t="shared" si="16"/>
        <v>66</v>
      </c>
      <c r="Q38" s="50">
        <f t="shared" si="19"/>
        <v>45</v>
      </c>
      <c r="R38" s="88">
        <f t="shared" si="19"/>
        <v>30</v>
      </c>
      <c r="S38" s="52" t="s">
        <v>320</v>
      </c>
      <c r="T38" s="376">
        <f>O38+90</f>
        <v>44730</v>
      </c>
      <c r="U38" s="276">
        <f>T38+(4*4.3*7)</f>
        <v>44850.400000000001</v>
      </c>
      <c r="V38" s="50">
        <v>4.0000000000000488</v>
      </c>
      <c r="W38" s="50">
        <f t="shared" si="17"/>
        <v>4.0000000000000488</v>
      </c>
      <c r="X38" s="50"/>
      <c r="Y38" s="50"/>
      <c r="Z38" s="50"/>
      <c r="AA38" s="53">
        <v>350000</v>
      </c>
      <c r="AB38" s="211">
        <v>0</v>
      </c>
      <c r="AC38" s="115">
        <v>0</v>
      </c>
      <c r="AD38" s="58"/>
      <c r="AE38" s="275">
        <v>150000</v>
      </c>
      <c r="AF38" s="275">
        <v>150000</v>
      </c>
      <c r="AG38" s="275">
        <v>50000</v>
      </c>
      <c r="AH38" s="58"/>
      <c r="AI38" s="58"/>
      <c r="AJ38" s="58"/>
      <c r="AK38" s="58"/>
      <c r="AL38" s="58"/>
      <c r="AM38" s="58"/>
      <c r="AN38" s="58"/>
      <c r="AO38" s="53"/>
      <c r="AP38" s="47"/>
      <c r="AQ38" s="53">
        <f t="shared" si="18"/>
        <v>350000</v>
      </c>
      <c r="AR38" s="51"/>
      <c r="AS38" s="359">
        <f t="shared" si="11"/>
        <v>0</v>
      </c>
    </row>
    <row r="39" spans="1:47" s="36" customFormat="1" ht="15.75" x14ac:dyDescent="0.25">
      <c r="A39" s="374" t="s">
        <v>726</v>
      </c>
      <c r="B39" s="374" t="s">
        <v>897</v>
      </c>
      <c r="C39" s="52" t="s">
        <v>875</v>
      </c>
      <c r="D39" s="52" t="s">
        <v>873</v>
      </c>
      <c r="E39" s="422" t="s">
        <v>24</v>
      </c>
      <c r="F39" s="34"/>
      <c r="G39" s="52" t="s">
        <v>623</v>
      </c>
      <c r="H39" s="52" t="s">
        <v>320</v>
      </c>
      <c r="I39" s="52" t="s">
        <v>827</v>
      </c>
      <c r="J39" s="52"/>
      <c r="K39" s="329">
        <v>44574</v>
      </c>
      <c r="L39" s="87">
        <v>44575</v>
      </c>
      <c r="M39" s="329">
        <v>44610</v>
      </c>
      <c r="N39" s="87">
        <v>44620</v>
      </c>
      <c r="O39" s="87">
        <f>M39+30</f>
        <v>44640</v>
      </c>
      <c r="P39" s="88">
        <f t="shared" si="16"/>
        <v>66</v>
      </c>
      <c r="Q39" s="50">
        <f t="shared" si="19"/>
        <v>45</v>
      </c>
      <c r="R39" s="88">
        <f t="shared" si="19"/>
        <v>30</v>
      </c>
      <c r="S39" s="52" t="s">
        <v>320</v>
      </c>
      <c r="T39" s="376">
        <f>O39+100</f>
        <v>44740</v>
      </c>
      <c r="U39" s="276">
        <f>T39+(4*4.3*7)</f>
        <v>44860.4</v>
      </c>
      <c r="V39" s="50">
        <v>4.0000000000000488</v>
      </c>
      <c r="W39" s="50">
        <f t="shared" si="17"/>
        <v>4.0000000000000488</v>
      </c>
      <c r="X39" s="50"/>
      <c r="Y39" s="50"/>
      <c r="Z39" s="50"/>
      <c r="AA39" s="53">
        <v>450000</v>
      </c>
      <c r="AB39" s="211">
        <v>0</v>
      </c>
      <c r="AC39" s="115">
        <v>0</v>
      </c>
      <c r="AD39" s="58"/>
      <c r="AE39" s="58"/>
      <c r="AF39" s="275">
        <v>50000</v>
      </c>
      <c r="AG39" s="275">
        <v>75000</v>
      </c>
      <c r="AH39" s="275">
        <v>75000</v>
      </c>
      <c r="AI39" s="275">
        <v>75000</v>
      </c>
      <c r="AJ39" s="275">
        <v>75000</v>
      </c>
      <c r="AK39" s="275">
        <v>75000</v>
      </c>
      <c r="AL39" s="275">
        <v>25000</v>
      </c>
      <c r="AM39" s="58"/>
      <c r="AN39" s="58"/>
      <c r="AO39" s="53"/>
      <c r="AP39" s="47"/>
      <c r="AQ39" s="53">
        <f t="shared" si="18"/>
        <v>450000</v>
      </c>
      <c r="AR39" s="51"/>
      <c r="AS39" s="359">
        <f t="shared" si="11"/>
        <v>0</v>
      </c>
    </row>
    <row r="40" spans="1:47" s="36" customFormat="1" ht="15.75" x14ac:dyDescent="0.25">
      <c r="A40" s="443"/>
      <c r="B40" s="443"/>
      <c r="C40" s="455"/>
      <c r="D40" s="455"/>
      <c r="E40" s="468"/>
      <c r="F40" s="463"/>
      <c r="G40" s="445"/>
      <c r="H40" s="445"/>
      <c r="I40" s="465"/>
      <c r="J40" s="465"/>
      <c r="K40" s="445"/>
      <c r="L40" s="445"/>
      <c r="M40" s="445"/>
      <c r="N40" s="445"/>
      <c r="O40" s="445"/>
      <c r="P40" s="447"/>
      <c r="Q40" s="445"/>
      <c r="R40" s="447"/>
      <c r="S40" s="445"/>
      <c r="T40" s="445"/>
      <c r="U40" s="445"/>
      <c r="V40" s="447"/>
      <c r="W40" s="445"/>
      <c r="X40" s="447"/>
      <c r="Y40" s="447"/>
      <c r="Z40" s="447"/>
      <c r="AA40" s="448">
        <f t="shared" ref="AA40:AO40" si="20">SUBTOTAL(9,AA34:AA39)</f>
        <v>5023968.79</v>
      </c>
      <c r="AB40" s="448">
        <f t="shared" si="20"/>
        <v>1044609.3200000001</v>
      </c>
      <c r="AC40" s="448">
        <f t="shared" si="20"/>
        <v>284554.82999999996</v>
      </c>
      <c r="AD40" s="448">
        <f t="shared" si="20"/>
        <v>400000</v>
      </c>
      <c r="AE40" s="448">
        <f t="shared" si="20"/>
        <v>600000</v>
      </c>
      <c r="AF40" s="448">
        <f t="shared" si="20"/>
        <v>725000</v>
      </c>
      <c r="AG40" s="448">
        <f t="shared" si="20"/>
        <v>675000</v>
      </c>
      <c r="AH40" s="448">
        <f t="shared" si="20"/>
        <v>502341.33</v>
      </c>
      <c r="AI40" s="448">
        <f t="shared" si="20"/>
        <v>250000</v>
      </c>
      <c r="AJ40" s="448">
        <f t="shared" si="20"/>
        <v>250000</v>
      </c>
      <c r="AK40" s="448">
        <f t="shared" si="20"/>
        <v>250000</v>
      </c>
      <c r="AL40" s="448">
        <f t="shared" si="20"/>
        <v>200000</v>
      </c>
      <c r="AM40" s="448">
        <f t="shared" si="20"/>
        <v>340000</v>
      </c>
      <c r="AN40" s="448">
        <f t="shared" si="20"/>
        <v>150000</v>
      </c>
      <c r="AO40" s="448">
        <f t="shared" si="20"/>
        <v>0</v>
      </c>
      <c r="AP40" s="449"/>
      <c r="AQ40" s="448">
        <f>SUBTOTAL(9,AQ32:AQ34)</f>
        <v>2093038.6700000002</v>
      </c>
      <c r="AR40" s="450"/>
      <c r="AS40" s="451">
        <f t="shared" si="11"/>
        <v>-2930930.12</v>
      </c>
      <c r="AT40" s="452"/>
      <c r="AU40" s="453"/>
    </row>
    <row r="41" spans="1:47" s="36" customFormat="1" ht="15.75" x14ac:dyDescent="0.25">
      <c r="A41" s="381" t="s">
        <v>517</v>
      </c>
      <c r="B41" s="106"/>
      <c r="C41" s="102" t="s">
        <v>708</v>
      </c>
      <c r="D41" s="102"/>
      <c r="E41" s="420"/>
      <c r="F41" s="106"/>
      <c r="G41" s="102"/>
      <c r="H41" s="102"/>
      <c r="I41" s="101"/>
      <c r="J41" s="101"/>
      <c r="K41" s="102"/>
      <c r="L41" s="102"/>
      <c r="M41" s="276"/>
      <c r="N41" s="276"/>
      <c r="O41" s="276"/>
      <c r="P41" s="84"/>
      <c r="Q41" s="276"/>
      <c r="R41" s="84"/>
      <c r="S41" s="102"/>
      <c r="T41" s="102"/>
      <c r="U41" s="102"/>
      <c r="V41" s="84"/>
      <c r="W41" s="102"/>
      <c r="X41" s="102"/>
      <c r="Y41" s="102"/>
      <c r="Z41" s="102"/>
      <c r="AA41" s="102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47"/>
      <c r="AQ41" s="85"/>
      <c r="AR41" s="51"/>
      <c r="AS41" s="359">
        <f t="shared" si="11"/>
        <v>0</v>
      </c>
    </row>
    <row r="42" spans="1:47" s="36" customFormat="1" ht="15.75" x14ac:dyDescent="0.25">
      <c r="A42" s="319" t="s">
        <v>544</v>
      </c>
      <c r="B42" s="320" t="s">
        <v>670</v>
      </c>
      <c r="C42" s="321" t="s">
        <v>708</v>
      </c>
      <c r="D42" s="321" t="s">
        <v>708</v>
      </c>
      <c r="E42" s="428" t="s">
        <v>24</v>
      </c>
      <c r="F42" s="320" t="s">
        <v>742</v>
      </c>
      <c r="G42" s="321" t="s">
        <v>46</v>
      </c>
      <c r="H42" s="321" t="s">
        <v>370</v>
      </c>
      <c r="I42" s="428" t="s">
        <v>236</v>
      </c>
      <c r="J42" s="428"/>
      <c r="K42" s="332" t="s">
        <v>370</v>
      </c>
      <c r="L42" s="339">
        <v>44440</v>
      </c>
      <c r="M42" s="332">
        <v>44440</v>
      </c>
      <c r="N42" s="339">
        <v>44455</v>
      </c>
      <c r="O42" s="332">
        <v>44455</v>
      </c>
      <c r="P42" s="343" t="e">
        <f t="shared" ref="P42:P48" si="21">O42-K42</f>
        <v>#VALUE!</v>
      </c>
      <c r="Q42" s="371">
        <f t="shared" ref="Q42:R48" si="22">N42-L42</f>
        <v>15</v>
      </c>
      <c r="R42" s="343">
        <f t="shared" si="22"/>
        <v>15</v>
      </c>
      <c r="S42" s="321"/>
      <c r="T42" s="332">
        <v>44461</v>
      </c>
      <c r="U42" s="332">
        <v>44486</v>
      </c>
      <c r="V42" s="343">
        <v>1</v>
      </c>
      <c r="W42" s="322">
        <f t="shared" ref="W42:W48" si="23">((U42-T42)/7)/4.3</f>
        <v>0.83056478405315626</v>
      </c>
      <c r="X42" s="322"/>
      <c r="Y42" s="322"/>
      <c r="Z42" s="322" t="s">
        <v>370</v>
      </c>
      <c r="AA42" s="323">
        <v>27626.400000000001</v>
      </c>
      <c r="AB42" s="211">
        <v>11493</v>
      </c>
      <c r="AC42" s="115">
        <v>16133.4</v>
      </c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3"/>
      <c r="AP42" s="47"/>
      <c r="AQ42" s="53">
        <f t="shared" ref="AQ42:AQ49" si="24">SUM(AB42:AP42)</f>
        <v>27626.400000000001</v>
      </c>
      <c r="AR42" s="51"/>
      <c r="AS42" s="359">
        <f t="shared" si="11"/>
        <v>0</v>
      </c>
      <c r="AU42" s="55"/>
    </row>
    <row r="43" spans="1:47" s="36" customFormat="1" ht="15.75" x14ac:dyDescent="0.25">
      <c r="A43" s="386" t="s">
        <v>208</v>
      </c>
      <c r="B43" s="393" t="s">
        <v>480</v>
      </c>
      <c r="C43" s="52" t="s">
        <v>708</v>
      </c>
      <c r="D43" s="52" t="s">
        <v>402</v>
      </c>
      <c r="E43" s="423" t="s">
        <v>890</v>
      </c>
      <c r="F43" s="61" t="s">
        <v>694</v>
      </c>
      <c r="G43" s="52" t="s">
        <v>46</v>
      </c>
      <c r="H43" s="87" t="s">
        <v>370</v>
      </c>
      <c r="I43" s="423" t="s">
        <v>823</v>
      </c>
      <c r="J43" s="423"/>
      <c r="K43" s="329" t="s">
        <v>370</v>
      </c>
      <c r="L43" s="87">
        <v>44519</v>
      </c>
      <c r="M43" s="329">
        <v>44519</v>
      </c>
      <c r="N43" s="298">
        <v>44567</v>
      </c>
      <c r="O43" s="329">
        <v>44606</v>
      </c>
      <c r="P43" s="346" t="e">
        <f t="shared" si="21"/>
        <v>#VALUE!</v>
      </c>
      <c r="Q43" s="50">
        <f t="shared" si="22"/>
        <v>48</v>
      </c>
      <c r="R43" s="346">
        <f t="shared" si="22"/>
        <v>87</v>
      </c>
      <c r="S43" s="52" t="s">
        <v>370</v>
      </c>
      <c r="T43" s="377">
        <v>44613</v>
      </c>
      <c r="U43" s="87">
        <v>44895</v>
      </c>
      <c r="V43" s="50">
        <v>9.0000000000000497</v>
      </c>
      <c r="W43" s="50">
        <f t="shared" si="23"/>
        <v>9.368770764119601</v>
      </c>
      <c r="X43" s="50"/>
      <c r="Y43" s="50"/>
      <c r="Z43" s="50"/>
      <c r="AA43" s="53">
        <v>2200000</v>
      </c>
      <c r="AB43" s="211">
        <v>0</v>
      </c>
      <c r="AC43" s="115">
        <v>0</v>
      </c>
      <c r="AD43" s="275">
        <v>200000</v>
      </c>
      <c r="AE43" s="275">
        <v>200000</v>
      </c>
      <c r="AF43" s="275">
        <v>200000</v>
      </c>
      <c r="AG43" s="275">
        <v>250000</v>
      </c>
      <c r="AH43" s="275">
        <v>250000</v>
      </c>
      <c r="AI43" s="275">
        <v>250000</v>
      </c>
      <c r="AJ43" s="275">
        <v>250000</v>
      </c>
      <c r="AK43" s="275">
        <v>250000</v>
      </c>
      <c r="AL43" s="275">
        <v>200000</v>
      </c>
      <c r="AM43" s="58"/>
      <c r="AN43" s="58"/>
      <c r="AO43" s="53"/>
      <c r="AP43" s="47"/>
      <c r="AQ43" s="53">
        <f t="shared" si="24"/>
        <v>2050000</v>
      </c>
      <c r="AR43" s="51"/>
      <c r="AS43" s="359">
        <f t="shared" si="11"/>
        <v>-150000</v>
      </c>
    </row>
    <row r="44" spans="1:47" s="36" customFormat="1" ht="15.75" x14ac:dyDescent="0.25">
      <c r="A44" s="386" t="s">
        <v>727</v>
      </c>
      <c r="B44" s="393" t="s">
        <v>653</v>
      </c>
      <c r="C44" s="52" t="s">
        <v>708</v>
      </c>
      <c r="D44" s="52" t="s">
        <v>633</v>
      </c>
      <c r="E44" s="423" t="s">
        <v>24</v>
      </c>
      <c r="F44" s="61"/>
      <c r="G44" s="52" t="s">
        <v>46</v>
      </c>
      <c r="H44" s="52" t="s">
        <v>370</v>
      </c>
      <c r="I44" s="423" t="s">
        <v>828</v>
      </c>
      <c r="J44" s="423"/>
      <c r="K44" s="329">
        <v>44575</v>
      </c>
      <c r="L44" s="87">
        <v>44543</v>
      </c>
      <c r="M44" s="329">
        <v>44575</v>
      </c>
      <c r="N44" s="298">
        <v>44574</v>
      </c>
      <c r="O44" s="329">
        <v>44582</v>
      </c>
      <c r="P44" s="346">
        <f t="shared" si="21"/>
        <v>7</v>
      </c>
      <c r="Q44" s="50">
        <f t="shared" si="22"/>
        <v>31</v>
      </c>
      <c r="R44" s="346">
        <f t="shared" si="22"/>
        <v>7</v>
      </c>
      <c r="S44" s="52" t="s">
        <v>370</v>
      </c>
      <c r="T44" s="377">
        <v>44606</v>
      </c>
      <c r="U44" s="87">
        <v>44792</v>
      </c>
      <c r="V44" s="50">
        <v>8.0000000000000977</v>
      </c>
      <c r="W44" s="50">
        <f t="shared" si="23"/>
        <v>6.1794019933554827</v>
      </c>
      <c r="X44" s="50"/>
      <c r="Y44" s="50"/>
      <c r="Z44" s="50"/>
      <c r="AA44" s="53">
        <v>1200000</v>
      </c>
      <c r="AB44" s="211">
        <v>0</v>
      </c>
      <c r="AC44" s="115">
        <v>0</v>
      </c>
      <c r="AD44" s="275">
        <v>50000</v>
      </c>
      <c r="AE44" s="275">
        <v>75000</v>
      </c>
      <c r="AF44" s="275">
        <v>150000</v>
      </c>
      <c r="AG44" s="275">
        <v>150000</v>
      </c>
      <c r="AH44" s="275">
        <v>200000</v>
      </c>
      <c r="AI44" s="275">
        <v>200000</v>
      </c>
      <c r="AJ44" s="275">
        <v>200000</v>
      </c>
      <c r="AK44" s="275">
        <v>125000</v>
      </c>
      <c r="AL44" s="58"/>
      <c r="AM44" s="58"/>
      <c r="AN44" s="58"/>
      <c r="AO44" s="53"/>
      <c r="AP44" s="47"/>
      <c r="AQ44" s="53">
        <f t="shared" si="24"/>
        <v>1150000</v>
      </c>
      <c r="AR44" s="51"/>
      <c r="AS44" s="359">
        <f t="shared" si="11"/>
        <v>-50000</v>
      </c>
    </row>
    <row r="45" spans="1:47" s="36" customFormat="1" ht="15.75" x14ac:dyDescent="0.25">
      <c r="A45" s="374" t="s">
        <v>729</v>
      </c>
      <c r="B45" s="374" t="s">
        <v>730</v>
      </c>
      <c r="C45" s="52" t="s">
        <v>708</v>
      </c>
      <c r="D45" s="52" t="s">
        <v>633</v>
      </c>
      <c r="E45" s="422" t="s">
        <v>24</v>
      </c>
      <c r="F45" s="35"/>
      <c r="G45" s="52" t="s">
        <v>623</v>
      </c>
      <c r="H45" s="52" t="s">
        <v>320</v>
      </c>
      <c r="I45" s="422" t="s">
        <v>828</v>
      </c>
      <c r="J45" s="422"/>
      <c r="K45" s="329">
        <v>44575</v>
      </c>
      <c r="L45" s="87">
        <v>44560</v>
      </c>
      <c r="M45" s="329">
        <v>44608</v>
      </c>
      <c r="N45" s="87">
        <v>44636</v>
      </c>
      <c r="O45" s="87">
        <f>M45+14</f>
        <v>44622</v>
      </c>
      <c r="P45" s="88">
        <f t="shared" si="21"/>
        <v>47</v>
      </c>
      <c r="Q45" s="50">
        <f t="shared" si="22"/>
        <v>76</v>
      </c>
      <c r="R45" s="50">
        <f t="shared" si="22"/>
        <v>14</v>
      </c>
      <c r="S45" s="52" t="s">
        <v>320</v>
      </c>
      <c r="T45" s="376">
        <f>O45+65</f>
        <v>44687</v>
      </c>
      <c r="U45" s="87">
        <f>T45+(4*4.3*7)</f>
        <v>44807.4</v>
      </c>
      <c r="V45" s="50">
        <v>4.0000000000000488</v>
      </c>
      <c r="W45" s="50">
        <f t="shared" si="23"/>
        <v>4.0000000000000488</v>
      </c>
      <c r="X45" s="50"/>
      <c r="Y45" s="50"/>
      <c r="Z45" s="50"/>
      <c r="AA45" s="53">
        <v>350000</v>
      </c>
      <c r="AB45" s="211">
        <v>0</v>
      </c>
      <c r="AC45" s="115">
        <v>0</v>
      </c>
      <c r="AD45" s="58"/>
      <c r="AE45" s="275">
        <v>50000</v>
      </c>
      <c r="AF45" s="275">
        <v>75000</v>
      </c>
      <c r="AG45" s="275">
        <v>100000</v>
      </c>
      <c r="AH45" s="275">
        <v>100000</v>
      </c>
      <c r="AI45" s="275">
        <v>25000</v>
      </c>
      <c r="AJ45" s="58"/>
      <c r="AK45" s="58"/>
      <c r="AL45" s="58"/>
      <c r="AM45" s="58"/>
      <c r="AN45" s="58"/>
      <c r="AO45" s="53"/>
      <c r="AP45" s="47"/>
      <c r="AQ45" s="53">
        <f t="shared" si="24"/>
        <v>350000</v>
      </c>
      <c r="AR45" s="51"/>
      <c r="AS45" s="359">
        <f t="shared" si="11"/>
        <v>0</v>
      </c>
      <c r="AU45" s="55"/>
    </row>
    <row r="46" spans="1:47" s="36" customFormat="1" ht="15.75" x14ac:dyDescent="0.25">
      <c r="A46" s="374" t="s">
        <v>150</v>
      </c>
      <c r="B46" s="374" t="s">
        <v>151</v>
      </c>
      <c r="C46" s="52" t="s">
        <v>708</v>
      </c>
      <c r="D46" s="52" t="s">
        <v>704</v>
      </c>
      <c r="E46" s="426" t="s">
        <v>24</v>
      </c>
      <c r="F46" s="389" t="s">
        <v>709</v>
      </c>
      <c r="G46" s="52" t="s">
        <v>46</v>
      </c>
      <c r="H46" s="87" t="s">
        <v>370</v>
      </c>
      <c r="I46" s="426" t="s">
        <v>820</v>
      </c>
      <c r="J46" s="426"/>
      <c r="K46" s="330" t="s">
        <v>370</v>
      </c>
      <c r="L46" s="87">
        <v>44369</v>
      </c>
      <c r="M46" s="329">
        <v>44369</v>
      </c>
      <c r="N46" s="298">
        <v>44509</v>
      </c>
      <c r="O46" s="329">
        <v>44509</v>
      </c>
      <c r="P46" s="346" t="e">
        <f t="shared" si="21"/>
        <v>#VALUE!</v>
      </c>
      <c r="Q46" s="344">
        <f t="shared" si="22"/>
        <v>140</v>
      </c>
      <c r="R46" s="333">
        <f t="shared" si="22"/>
        <v>140</v>
      </c>
      <c r="S46" s="52" t="s">
        <v>370</v>
      </c>
      <c r="T46" s="377">
        <v>44517</v>
      </c>
      <c r="U46" s="87">
        <v>44713</v>
      </c>
      <c r="V46" s="50">
        <v>7</v>
      </c>
      <c r="W46" s="50">
        <f t="shared" si="23"/>
        <v>6.5116279069767442</v>
      </c>
      <c r="X46" s="50"/>
      <c r="Y46" s="50"/>
      <c r="Z46" s="50" t="s">
        <v>370</v>
      </c>
      <c r="AA46" s="182">
        <v>1910049.56</v>
      </c>
      <c r="AB46" s="211">
        <v>892016.83</v>
      </c>
      <c r="AC46" s="115">
        <v>304883.09000000003</v>
      </c>
      <c r="AD46" s="275">
        <v>300000</v>
      </c>
      <c r="AE46" s="275">
        <v>300000</v>
      </c>
      <c r="AF46" s="275">
        <v>168032.73</v>
      </c>
      <c r="AG46" s="58"/>
      <c r="AH46" s="58"/>
      <c r="AI46" s="58"/>
      <c r="AJ46" s="58"/>
      <c r="AK46" s="58"/>
      <c r="AL46" s="58"/>
      <c r="AM46" s="58"/>
      <c r="AN46" s="58"/>
      <c r="AO46" s="58"/>
      <c r="AP46" s="47"/>
      <c r="AQ46" s="53">
        <f t="shared" si="24"/>
        <v>1964932.65</v>
      </c>
      <c r="AR46" s="51"/>
      <c r="AS46" s="359">
        <f t="shared" si="11"/>
        <v>54883.089999999851</v>
      </c>
    </row>
    <row r="47" spans="1:47" s="36" customFormat="1" ht="15.75" x14ac:dyDescent="0.25">
      <c r="A47" s="374" t="s">
        <v>153</v>
      </c>
      <c r="B47" s="374" t="s">
        <v>424</v>
      </c>
      <c r="C47" s="394" t="s">
        <v>708</v>
      </c>
      <c r="D47" s="394" t="s">
        <v>704</v>
      </c>
      <c r="E47" s="394" t="s">
        <v>24</v>
      </c>
      <c r="F47" s="407" t="s">
        <v>710</v>
      </c>
      <c r="G47" s="52" t="s">
        <v>46</v>
      </c>
      <c r="H47" s="52" t="s">
        <v>370</v>
      </c>
      <c r="I47" s="394" t="s">
        <v>820</v>
      </c>
      <c r="J47" s="394"/>
      <c r="K47" s="330" t="s">
        <v>370</v>
      </c>
      <c r="L47" s="87">
        <v>44551</v>
      </c>
      <c r="M47" s="329">
        <v>44543</v>
      </c>
      <c r="N47" s="298">
        <v>44588</v>
      </c>
      <c r="O47" s="329">
        <v>44585</v>
      </c>
      <c r="P47" s="346" t="e">
        <f t="shared" si="21"/>
        <v>#VALUE!</v>
      </c>
      <c r="Q47" s="344">
        <f t="shared" si="22"/>
        <v>37</v>
      </c>
      <c r="R47" s="346">
        <f t="shared" si="22"/>
        <v>42</v>
      </c>
      <c r="S47" s="52" t="s">
        <v>370</v>
      </c>
      <c r="T47" s="377">
        <v>44599</v>
      </c>
      <c r="U47" s="276">
        <f>T47+145</f>
        <v>44744</v>
      </c>
      <c r="V47" s="50">
        <v>3</v>
      </c>
      <c r="W47" s="50">
        <f t="shared" si="23"/>
        <v>4.8172757475083063</v>
      </c>
      <c r="X47" s="50"/>
      <c r="Y47" s="50"/>
      <c r="Z47" s="50" t="s">
        <v>370</v>
      </c>
      <c r="AA47" s="182">
        <v>288979.20000000001</v>
      </c>
      <c r="AB47" s="211">
        <v>17537.689999999999</v>
      </c>
      <c r="AC47" s="115">
        <v>0</v>
      </c>
      <c r="AD47" s="275">
        <v>60000</v>
      </c>
      <c r="AE47" s="275">
        <v>90000</v>
      </c>
      <c r="AF47" s="275">
        <v>90000</v>
      </c>
      <c r="AG47" s="275">
        <v>31441.51</v>
      </c>
      <c r="AH47" s="58"/>
      <c r="AI47" s="58"/>
      <c r="AJ47" s="58"/>
      <c r="AK47" s="58"/>
      <c r="AL47" s="58"/>
      <c r="AM47" s="58"/>
      <c r="AN47" s="58"/>
      <c r="AO47" s="53"/>
      <c r="AP47" s="47"/>
      <c r="AQ47" s="53">
        <f t="shared" si="24"/>
        <v>288979.20000000001</v>
      </c>
      <c r="AR47" s="51"/>
      <c r="AS47" s="359">
        <f t="shared" si="11"/>
        <v>0</v>
      </c>
      <c r="AU47" s="55"/>
    </row>
    <row r="48" spans="1:47" s="36" customFormat="1" ht="15.75" x14ac:dyDescent="0.25">
      <c r="A48" s="374" t="s">
        <v>155</v>
      </c>
      <c r="B48" s="375" t="s">
        <v>426</v>
      </c>
      <c r="C48" s="52" t="s">
        <v>708</v>
      </c>
      <c r="D48" s="52" t="s">
        <v>704</v>
      </c>
      <c r="E48" s="394" t="s">
        <v>24</v>
      </c>
      <c r="F48" s="65" t="s">
        <v>711</v>
      </c>
      <c r="G48" s="52" t="s">
        <v>46</v>
      </c>
      <c r="H48" s="52" t="s">
        <v>370</v>
      </c>
      <c r="I48" s="423" t="s">
        <v>820</v>
      </c>
      <c r="J48" s="423"/>
      <c r="K48" s="330" t="s">
        <v>370</v>
      </c>
      <c r="L48" s="87">
        <v>44551</v>
      </c>
      <c r="M48" s="329">
        <v>44559</v>
      </c>
      <c r="N48" s="298">
        <v>44596</v>
      </c>
      <c r="O48" s="329">
        <v>44585</v>
      </c>
      <c r="P48" s="346" t="e">
        <f t="shared" si="21"/>
        <v>#VALUE!</v>
      </c>
      <c r="Q48" s="344">
        <f t="shared" si="22"/>
        <v>45</v>
      </c>
      <c r="R48" s="346">
        <f t="shared" si="22"/>
        <v>26</v>
      </c>
      <c r="S48" s="52" t="s">
        <v>370</v>
      </c>
      <c r="T48" s="377">
        <v>44599</v>
      </c>
      <c r="U48" s="276">
        <f>T48+145</f>
        <v>44744</v>
      </c>
      <c r="V48" s="50">
        <v>3</v>
      </c>
      <c r="W48" s="50">
        <f t="shared" si="23"/>
        <v>4.8172757475083063</v>
      </c>
      <c r="X48" s="50"/>
      <c r="Y48" s="50"/>
      <c r="Z48" s="50" t="s">
        <v>370</v>
      </c>
      <c r="AA48" s="182">
        <v>376822.32</v>
      </c>
      <c r="AB48" s="211">
        <v>20124</v>
      </c>
      <c r="AC48" s="115">
        <v>0</v>
      </c>
      <c r="AD48" s="58">
        <v>75000</v>
      </c>
      <c r="AE48" s="275">
        <v>75000</v>
      </c>
      <c r="AF48" s="275">
        <v>75000</v>
      </c>
      <c r="AG48" s="275">
        <v>75000</v>
      </c>
      <c r="AH48" s="275">
        <v>56698.32</v>
      </c>
      <c r="AI48" s="58"/>
      <c r="AJ48" s="58"/>
      <c r="AK48" s="58"/>
      <c r="AL48" s="58"/>
      <c r="AM48" s="58"/>
      <c r="AN48" s="58"/>
      <c r="AO48" s="53"/>
      <c r="AP48" s="47"/>
      <c r="AQ48" s="53">
        <f t="shared" si="24"/>
        <v>376822.32</v>
      </c>
      <c r="AR48" s="51"/>
      <c r="AS48" s="359">
        <f t="shared" si="11"/>
        <v>0</v>
      </c>
    </row>
    <row r="49" spans="1:47" s="36" customFormat="1" ht="15.75" x14ac:dyDescent="0.25">
      <c r="A49" s="386" t="s">
        <v>795</v>
      </c>
      <c r="B49" s="393" t="s">
        <v>804</v>
      </c>
      <c r="C49" s="52" t="s">
        <v>708</v>
      </c>
      <c r="D49" s="52" t="s">
        <v>704</v>
      </c>
      <c r="E49" s="394" t="s">
        <v>24</v>
      </c>
      <c r="F49" s="65" t="s">
        <v>711</v>
      </c>
      <c r="G49" s="52" t="s">
        <v>46</v>
      </c>
      <c r="H49" s="52" t="s">
        <v>370</v>
      </c>
      <c r="I49" s="422" t="s">
        <v>820</v>
      </c>
      <c r="J49" s="422"/>
      <c r="K49" s="330" t="s">
        <v>370</v>
      </c>
      <c r="L49" s="87">
        <v>44551</v>
      </c>
      <c r="M49" s="329" t="s">
        <v>24</v>
      </c>
      <c r="N49" s="329" t="s">
        <v>24</v>
      </c>
      <c r="O49" s="329" t="s">
        <v>24</v>
      </c>
      <c r="P49" s="346" t="s">
        <v>24</v>
      </c>
      <c r="Q49" s="329" t="s">
        <v>24</v>
      </c>
      <c r="R49" s="329" t="s">
        <v>24</v>
      </c>
      <c r="S49" s="52" t="s">
        <v>320</v>
      </c>
      <c r="T49" s="377" t="s">
        <v>24</v>
      </c>
      <c r="U49" s="333" t="s">
        <v>24</v>
      </c>
      <c r="V49" s="333" t="s">
        <v>24</v>
      </c>
      <c r="W49" s="333" t="s">
        <v>24</v>
      </c>
      <c r="X49" s="333" t="s">
        <v>24</v>
      </c>
      <c r="Y49" s="333" t="s">
        <v>24</v>
      </c>
      <c r="Z49" s="333" t="s">
        <v>24</v>
      </c>
      <c r="AA49" s="182"/>
      <c r="AB49" s="211">
        <v>0</v>
      </c>
      <c r="AC49" s="115">
        <v>0</v>
      </c>
      <c r="AD49" s="58"/>
      <c r="AE49" s="275"/>
      <c r="AF49" s="275"/>
      <c r="AG49" s="275"/>
      <c r="AH49" s="275"/>
      <c r="AI49" s="58"/>
      <c r="AJ49" s="58"/>
      <c r="AK49" s="58"/>
      <c r="AL49" s="58"/>
      <c r="AM49" s="58"/>
      <c r="AN49" s="58"/>
      <c r="AO49" s="53"/>
      <c r="AP49" s="47"/>
      <c r="AQ49" s="53">
        <f t="shared" si="24"/>
        <v>0</v>
      </c>
      <c r="AR49" s="51"/>
      <c r="AS49" s="359">
        <f t="shared" si="11"/>
        <v>0</v>
      </c>
    </row>
    <row r="50" spans="1:47" s="36" customFormat="1" ht="15.75" x14ac:dyDescent="0.25">
      <c r="A50" s="99"/>
      <c r="B50" s="100"/>
      <c r="C50" s="91"/>
      <c r="D50" s="91"/>
      <c r="E50" s="429"/>
      <c r="F50" s="100"/>
      <c r="G50" s="91"/>
      <c r="H50" s="91"/>
      <c r="I50" s="429"/>
      <c r="J50" s="429"/>
      <c r="K50" s="91"/>
      <c r="L50" s="91"/>
      <c r="M50" s="91"/>
      <c r="N50" s="91"/>
      <c r="O50" s="91"/>
      <c r="P50" s="92"/>
      <c r="Q50" s="91"/>
      <c r="R50" s="92"/>
      <c r="S50" s="91"/>
      <c r="T50" s="91"/>
      <c r="U50" s="91"/>
      <c r="V50" s="92"/>
      <c r="W50" s="91"/>
      <c r="X50" s="92"/>
      <c r="Y50" s="92"/>
      <c r="Z50" s="92"/>
      <c r="AA50" s="243">
        <f t="shared" ref="AA50:AO50" si="25">SUBTOTAL(9,AA42:AA49)</f>
        <v>6353477.4800000004</v>
      </c>
      <c r="AB50" s="243">
        <f t="shared" si="25"/>
        <v>941171.5199999999</v>
      </c>
      <c r="AC50" s="243">
        <f t="shared" si="25"/>
        <v>321016.49000000005</v>
      </c>
      <c r="AD50" s="243">
        <f t="shared" si="25"/>
        <v>685000</v>
      </c>
      <c r="AE50" s="243">
        <f t="shared" si="25"/>
        <v>790000</v>
      </c>
      <c r="AF50" s="243">
        <f t="shared" si="25"/>
        <v>758032.73</v>
      </c>
      <c r="AG50" s="243">
        <f t="shared" si="25"/>
        <v>606441.51</v>
      </c>
      <c r="AH50" s="243">
        <f t="shared" si="25"/>
        <v>606698.31999999995</v>
      </c>
      <c r="AI50" s="243">
        <f t="shared" si="25"/>
        <v>475000</v>
      </c>
      <c r="AJ50" s="243">
        <f t="shared" si="25"/>
        <v>450000</v>
      </c>
      <c r="AK50" s="243">
        <f t="shared" si="25"/>
        <v>375000</v>
      </c>
      <c r="AL50" s="243">
        <f t="shared" si="25"/>
        <v>200000</v>
      </c>
      <c r="AM50" s="243">
        <f t="shared" si="25"/>
        <v>0</v>
      </c>
      <c r="AN50" s="243">
        <f t="shared" si="25"/>
        <v>0</v>
      </c>
      <c r="AO50" s="243">
        <f t="shared" si="25"/>
        <v>0</v>
      </c>
      <c r="AP50" s="47"/>
      <c r="AQ50" s="243">
        <f>SUBTOTAL(9,AQ41:AQ49)</f>
        <v>6208360.5700000003</v>
      </c>
      <c r="AR50" s="51"/>
      <c r="AS50" s="359">
        <f t="shared" si="11"/>
        <v>-145116.91000000015</v>
      </c>
    </row>
    <row r="51" spans="1:47" s="36" customFormat="1" ht="15.75" x14ac:dyDescent="0.25">
      <c r="A51" s="381" t="s">
        <v>623</v>
      </c>
      <c r="B51" s="106"/>
      <c r="C51" s="102"/>
      <c r="D51" s="102"/>
      <c r="E51" s="420"/>
      <c r="F51" s="106"/>
      <c r="G51" s="102"/>
      <c r="H51" s="102"/>
      <c r="I51" s="420"/>
      <c r="J51" s="420"/>
      <c r="K51" s="102"/>
      <c r="L51" s="102"/>
      <c r="M51" s="276"/>
      <c r="N51" s="276"/>
      <c r="O51" s="276"/>
      <c r="P51" s="84"/>
      <c r="Q51" s="276"/>
      <c r="R51" s="84"/>
      <c r="S51" s="102"/>
      <c r="T51" s="102"/>
      <c r="U51" s="102"/>
      <c r="V51" s="84"/>
      <c r="W51" s="102"/>
      <c r="X51" s="102"/>
      <c r="Y51" s="102"/>
      <c r="Z51" s="102"/>
      <c r="AA51" s="102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47"/>
      <c r="AQ51" s="85"/>
      <c r="AR51" s="51"/>
      <c r="AS51" s="359">
        <f t="shared" si="11"/>
        <v>0</v>
      </c>
    </row>
    <row r="52" spans="1:47" s="36" customFormat="1" ht="15.75" x14ac:dyDescent="0.25">
      <c r="A52" s="374" t="s">
        <v>266</v>
      </c>
      <c r="B52" s="374" t="s">
        <v>794</v>
      </c>
      <c r="C52" s="52" t="s">
        <v>874</v>
      </c>
      <c r="D52" s="52" t="s">
        <v>873</v>
      </c>
      <c r="E52" s="422" t="s">
        <v>890</v>
      </c>
      <c r="F52" s="57" t="s">
        <v>862</v>
      </c>
      <c r="G52" s="52" t="s">
        <v>623</v>
      </c>
      <c r="H52" s="52" t="s">
        <v>320</v>
      </c>
      <c r="I52" s="432" t="s">
        <v>833</v>
      </c>
      <c r="J52" s="432"/>
      <c r="K52" s="87">
        <v>44656</v>
      </c>
      <c r="L52" s="87">
        <v>44601</v>
      </c>
      <c r="M52" s="329">
        <v>44655</v>
      </c>
      <c r="N52" s="87">
        <v>44620</v>
      </c>
      <c r="O52" s="87">
        <f>M52+30</f>
        <v>44685</v>
      </c>
      <c r="P52" s="88">
        <f t="shared" ref="P52:P102" si="26">O52-K52</f>
        <v>29</v>
      </c>
      <c r="Q52" s="50">
        <f t="shared" ref="Q52:R59" si="27">N52-L52</f>
        <v>19</v>
      </c>
      <c r="R52" s="50">
        <f t="shared" si="27"/>
        <v>30</v>
      </c>
      <c r="S52" s="52" t="s">
        <v>320</v>
      </c>
      <c r="T52" s="376">
        <f>O52</f>
        <v>44685</v>
      </c>
      <c r="U52" s="87">
        <f>T52+150</f>
        <v>44835</v>
      </c>
      <c r="V52" s="88">
        <v>2.5249169435215948</v>
      </c>
      <c r="W52" s="88">
        <f t="shared" ref="W52:W59" si="28">((U52-T52)/7)/4.3</f>
        <v>4.9833887043189371</v>
      </c>
      <c r="X52" s="50"/>
      <c r="Y52" s="50"/>
      <c r="Z52" s="50"/>
      <c r="AA52" s="53">
        <v>725000</v>
      </c>
      <c r="AB52" s="211">
        <v>0</v>
      </c>
      <c r="AC52" s="115">
        <v>0</v>
      </c>
      <c r="AD52" s="58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>
        <v>725000</v>
      </c>
      <c r="AO52" s="53"/>
      <c r="AP52" s="47"/>
      <c r="AQ52" s="53">
        <f t="shared" ref="AQ52:AQ59" si="29">SUM(AB52:AP52)</f>
        <v>725000</v>
      </c>
      <c r="AR52" s="51"/>
      <c r="AS52" s="359">
        <f t="shared" si="11"/>
        <v>0</v>
      </c>
    </row>
    <row r="53" spans="1:47" s="36" customFormat="1" ht="15.75" x14ac:dyDescent="0.25">
      <c r="A53" s="113" t="s">
        <v>191</v>
      </c>
      <c r="B53" s="113" t="s">
        <v>192</v>
      </c>
      <c r="C53" s="52" t="s">
        <v>45</v>
      </c>
      <c r="D53" s="52" t="s">
        <v>45</v>
      </c>
      <c r="E53" s="52" t="s">
        <v>45</v>
      </c>
      <c r="F53" s="113" t="s">
        <v>193</v>
      </c>
      <c r="G53" s="52" t="s">
        <v>623</v>
      </c>
      <c r="H53" s="52" t="s">
        <v>320</v>
      </c>
      <c r="I53" s="52" t="s">
        <v>184</v>
      </c>
      <c r="J53" s="52"/>
      <c r="K53" s="276" t="s">
        <v>320</v>
      </c>
      <c r="L53" s="87">
        <v>44713</v>
      </c>
      <c r="M53" s="298">
        <v>44704</v>
      </c>
      <c r="N53" s="299">
        <v>44758</v>
      </c>
      <c r="O53" s="52">
        <f>M53+30</f>
        <v>44734</v>
      </c>
      <c r="P53" s="88" t="e">
        <f t="shared" si="26"/>
        <v>#VALUE!</v>
      </c>
      <c r="Q53" s="50">
        <f t="shared" si="27"/>
        <v>45</v>
      </c>
      <c r="R53" s="50">
        <f t="shared" si="27"/>
        <v>30</v>
      </c>
      <c r="S53" s="52" t="s">
        <v>320</v>
      </c>
      <c r="T53" s="52">
        <f>O53+30</f>
        <v>44764</v>
      </c>
      <c r="U53" s="52">
        <f>T53+(12*4.3*7)</f>
        <v>45125.2</v>
      </c>
      <c r="V53" s="50">
        <v>11.999999999999904</v>
      </c>
      <c r="W53" s="50">
        <f t="shared" si="28"/>
        <v>11.999999999999904</v>
      </c>
      <c r="X53" s="50"/>
      <c r="Y53" s="50"/>
      <c r="Z53" s="50"/>
      <c r="AA53" s="53">
        <v>4000000</v>
      </c>
      <c r="AB53" s="211">
        <v>0</v>
      </c>
      <c r="AC53" s="115">
        <v>0</v>
      </c>
      <c r="AD53" s="58"/>
      <c r="AE53" s="275">
        <v>200000</v>
      </c>
      <c r="AF53" s="275">
        <v>250000</v>
      </c>
      <c r="AG53" s="275">
        <v>340000</v>
      </c>
      <c r="AH53" s="275">
        <v>340000</v>
      </c>
      <c r="AI53" s="275">
        <v>340000</v>
      </c>
      <c r="AJ53" s="275">
        <v>340000</v>
      </c>
      <c r="AK53" s="275">
        <v>340000</v>
      </c>
      <c r="AL53" s="275">
        <v>340000</v>
      </c>
      <c r="AM53" s="275">
        <v>340000</v>
      </c>
      <c r="AN53" s="275">
        <v>340000</v>
      </c>
      <c r="AO53" s="275">
        <v>830000</v>
      </c>
      <c r="AP53" s="47"/>
      <c r="AQ53" s="53">
        <f t="shared" si="29"/>
        <v>4000000</v>
      </c>
      <c r="AR53" s="51"/>
      <c r="AS53" s="359">
        <f t="shared" si="11"/>
        <v>0</v>
      </c>
    </row>
    <row r="54" spans="1:47" s="36" customFormat="1" ht="15.75" x14ac:dyDescent="0.25">
      <c r="A54" s="113" t="s">
        <v>194</v>
      </c>
      <c r="B54" s="113" t="s">
        <v>609</v>
      </c>
      <c r="C54" s="52" t="s">
        <v>708</v>
      </c>
      <c r="D54" s="52" t="s">
        <v>45</v>
      </c>
      <c r="E54" s="52" t="s">
        <v>890</v>
      </c>
      <c r="F54" s="34" t="s">
        <v>196</v>
      </c>
      <c r="G54" s="52" t="s">
        <v>623</v>
      </c>
      <c r="H54" s="52" t="s">
        <v>320</v>
      </c>
      <c r="I54" s="52" t="s">
        <v>821</v>
      </c>
      <c r="J54" s="52"/>
      <c r="K54" s="87">
        <v>44606</v>
      </c>
      <c r="L54" s="87">
        <v>44597</v>
      </c>
      <c r="M54" s="298">
        <v>44692</v>
      </c>
      <c r="N54" s="298">
        <v>44667</v>
      </c>
      <c r="O54" s="87">
        <f>M54+60</f>
        <v>44752</v>
      </c>
      <c r="P54" s="88">
        <f t="shared" si="26"/>
        <v>146</v>
      </c>
      <c r="Q54" s="50">
        <f t="shared" si="27"/>
        <v>70</v>
      </c>
      <c r="R54" s="50">
        <f t="shared" si="27"/>
        <v>60</v>
      </c>
      <c r="S54" s="52" t="s">
        <v>320</v>
      </c>
      <c r="T54" s="87">
        <v>44682</v>
      </c>
      <c r="U54" s="52">
        <f>T54+(9*4.3*7)</f>
        <v>44952.9</v>
      </c>
      <c r="V54" s="50">
        <v>9.0000000000000497</v>
      </c>
      <c r="W54" s="50">
        <f t="shared" si="28"/>
        <v>9.0000000000000497</v>
      </c>
      <c r="X54" s="50"/>
      <c r="Y54" s="50"/>
      <c r="Z54" s="50"/>
      <c r="AA54" s="53">
        <v>2200000</v>
      </c>
      <c r="AB54" s="211">
        <v>0</v>
      </c>
      <c r="AC54" s="115">
        <v>0</v>
      </c>
      <c r="AD54" s="58"/>
      <c r="AE54" s="275">
        <v>150000</v>
      </c>
      <c r="AF54" s="275">
        <v>200000</v>
      </c>
      <c r="AG54" s="275">
        <v>260000</v>
      </c>
      <c r="AH54" s="275">
        <v>260000</v>
      </c>
      <c r="AI54" s="275">
        <v>300000</v>
      </c>
      <c r="AJ54" s="275">
        <v>300000</v>
      </c>
      <c r="AK54" s="275">
        <v>260000</v>
      </c>
      <c r="AL54" s="275">
        <v>260000</v>
      </c>
      <c r="AM54" s="275">
        <v>210000</v>
      </c>
      <c r="AN54" s="58"/>
      <c r="AO54" s="58"/>
      <c r="AP54" s="47"/>
      <c r="AQ54" s="53">
        <f t="shared" si="29"/>
        <v>2200000</v>
      </c>
      <c r="AR54" s="51"/>
      <c r="AS54" s="359">
        <f t="shared" si="11"/>
        <v>0</v>
      </c>
    </row>
    <row r="55" spans="1:47" s="36" customFormat="1" ht="15.75" x14ac:dyDescent="0.25">
      <c r="A55" s="386" t="s">
        <v>647</v>
      </c>
      <c r="B55" s="374" t="s">
        <v>604</v>
      </c>
      <c r="C55" s="52" t="s">
        <v>884</v>
      </c>
      <c r="D55" s="52" t="s">
        <v>885</v>
      </c>
      <c r="E55" s="423" t="s">
        <v>893</v>
      </c>
      <c r="F55" s="112" t="s">
        <v>684</v>
      </c>
      <c r="G55" s="52" t="s">
        <v>623</v>
      </c>
      <c r="H55" s="52" t="s">
        <v>320</v>
      </c>
      <c r="I55" s="423" t="s">
        <v>815</v>
      </c>
      <c r="J55" s="423"/>
      <c r="K55" s="329" t="s">
        <v>370</v>
      </c>
      <c r="L55" s="87">
        <v>44690</v>
      </c>
      <c r="M55" s="87">
        <v>44692</v>
      </c>
      <c r="N55" s="52">
        <v>44609</v>
      </c>
      <c r="O55" s="52">
        <f t="shared" ref="O55:O61" si="30">M55+45</f>
        <v>44737</v>
      </c>
      <c r="P55" s="88" t="e">
        <f t="shared" si="26"/>
        <v>#VALUE!</v>
      </c>
      <c r="Q55" s="50">
        <f t="shared" si="27"/>
        <v>-81</v>
      </c>
      <c r="R55" s="50">
        <f t="shared" si="27"/>
        <v>45</v>
      </c>
      <c r="S55" s="52" t="s">
        <v>320</v>
      </c>
      <c r="T55" s="376">
        <v>44743</v>
      </c>
      <c r="U55" s="276">
        <f>T55+(9*4.3*7)</f>
        <v>45013.9</v>
      </c>
      <c r="V55" s="491">
        <v>6</v>
      </c>
      <c r="W55" s="84">
        <f t="shared" si="28"/>
        <v>9.0000000000000497</v>
      </c>
      <c r="X55" s="50"/>
      <c r="Y55" s="50"/>
      <c r="Z55" s="50"/>
      <c r="AA55" s="189">
        <v>980000</v>
      </c>
      <c r="AB55" s="211">
        <v>0</v>
      </c>
      <c r="AC55" s="115">
        <v>0</v>
      </c>
      <c r="AD55" s="58"/>
      <c r="AE55" s="275">
        <v>50000</v>
      </c>
      <c r="AF55" s="275">
        <v>100000</v>
      </c>
      <c r="AG55" s="275">
        <v>125000</v>
      </c>
      <c r="AH55" s="275">
        <v>150000</v>
      </c>
      <c r="AI55" s="275">
        <v>200000</v>
      </c>
      <c r="AJ55" s="275">
        <v>200000</v>
      </c>
      <c r="AK55" s="275">
        <v>155000</v>
      </c>
      <c r="AL55" s="58"/>
      <c r="AM55" s="58"/>
      <c r="AN55" s="58"/>
      <c r="AO55" s="58"/>
      <c r="AP55" s="47"/>
      <c r="AQ55" s="53">
        <f t="shared" si="29"/>
        <v>980000</v>
      </c>
      <c r="AR55" s="51"/>
      <c r="AS55" s="359">
        <f t="shared" si="11"/>
        <v>0</v>
      </c>
    </row>
    <row r="56" spans="1:47" s="36" customFormat="1" ht="15.75" x14ac:dyDescent="0.25">
      <c r="A56" s="386" t="s">
        <v>648</v>
      </c>
      <c r="B56" s="393" t="s">
        <v>605</v>
      </c>
      <c r="C56" s="52" t="s">
        <v>884</v>
      </c>
      <c r="D56" s="52" t="s">
        <v>885</v>
      </c>
      <c r="E56" s="423" t="s">
        <v>893</v>
      </c>
      <c r="F56" s="112" t="s">
        <v>684</v>
      </c>
      <c r="G56" s="52" t="s">
        <v>623</v>
      </c>
      <c r="H56" s="52" t="s">
        <v>320</v>
      </c>
      <c r="I56" s="423" t="s">
        <v>815</v>
      </c>
      <c r="J56" s="423"/>
      <c r="K56" s="329" t="s">
        <v>370</v>
      </c>
      <c r="L56" s="87">
        <v>44690</v>
      </c>
      <c r="M56" s="87">
        <v>44692</v>
      </c>
      <c r="N56" s="52">
        <v>44609</v>
      </c>
      <c r="O56" s="52">
        <f t="shared" si="30"/>
        <v>44737</v>
      </c>
      <c r="P56" s="88" t="e">
        <f t="shared" si="26"/>
        <v>#VALUE!</v>
      </c>
      <c r="Q56" s="50">
        <f t="shared" si="27"/>
        <v>-81</v>
      </c>
      <c r="R56" s="50">
        <f t="shared" si="27"/>
        <v>45</v>
      </c>
      <c r="S56" s="52" t="s">
        <v>320</v>
      </c>
      <c r="T56" s="376">
        <v>44743</v>
      </c>
      <c r="U56" s="276">
        <f>T56+(9*4.3*7)</f>
        <v>45013.9</v>
      </c>
      <c r="V56" s="491">
        <v>6</v>
      </c>
      <c r="W56" s="84">
        <f t="shared" si="28"/>
        <v>9.0000000000000497</v>
      </c>
      <c r="X56" s="50"/>
      <c r="Y56" s="50"/>
      <c r="Z56" s="50"/>
      <c r="AA56" s="189">
        <v>1558000</v>
      </c>
      <c r="AB56" s="211">
        <v>0</v>
      </c>
      <c r="AC56" s="115">
        <v>0</v>
      </c>
      <c r="AD56" s="58"/>
      <c r="AE56" s="275">
        <v>50000</v>
      </c>
      <c r="AF56" s="275">
        <v>125000</v>
      </c>
      <c r="AG56" s="275">
        <v>225000</v>
      </c>
      <c r="AH56" s="275">
        <v>300000</v>
      </c>
      <c r="AI56" s="275">
        <v>300000</v>
      </c>
      <c r="AJ56" s="275">
        <v>300000</v>
      </c>
      <c r="AK56" s="275">
        <v>258000</v>
      </c>
      <c r="AL56" s="58"/>
      <c r="AM56" s="58"/>
      <c r="AN56" s="58"/>
      <c r="AO56" s="58"/>
      <c r="AP56" s="47"/>
      <c r="AQ56" s="53">
        <f t="shared" si="29"/>
        <v>1558000</v>
      </c>
      <c r="AR56" s="51"/>
      <c r="AS56" s="359">
        <f t="shared" si="11"/>
        <v>0</v>
      </c>
    </row>
    <row r="57" spans="1:47" s="36" customFormat="1" ht="15.75" x14ac:dyDescent="0.25">
      <c r="A57" s="461" t="s">
        <v>649</v>
      </c>
      <c r="B57" s="492" t="s">
        <v>606</v>
      </c>
      <c r="C57" s="52" t="s">
        <v>884</v>
      </c>
      <c r="D57" s="52" t="s">
        <v>885</v>
      </c>
      <c r="E57" s="423" t="s">
        <v>893</v>
      </c>
      <c r="F57" s="180" t="s">
        <v>684</v>
      </c>
      <c r="G57" s="52" t="s">
        <v>623</v>
      </c>
      <c r="H57" s="52" t="s">
        <v>320</v>
      </c>
      <c r="I57" s="426" t="s">
        <v>815</v>
      </c>
      <c r="J57" s="426"/>
      <c r="K57" s="329" t="s">
        <v>370</v>
      </c>
      <c r="L57" s="87">
        <v>44622</v>
      </c>
      <c r="M57" s="329">
        <v>44621</v>
      </c>
      <c r="N57" s="87">
        <v>44623</v>
      </c>
      <c r="O57" s="87">
        <f t="shared" si="30"/>
        <v>44666</v>
      </c>
      <c r="P57" s="88" t="e">
        <f t="shared" si="26"/>
        <v>#VALUE!</v>
      </c>
      <c r="Q57" s="50">
        <f t="shared" si="27"/>
        <v>1</v>
      </c>
      <c r="R57" s="88">
        <f t="shared" si="27"/>
        <v>45</v>
      </c>
      <c r="S57" s="52" t="s">
        <v>320</v>
      </c>
      <c r="T57" s="376">
        <f>O57+30</f>
        <v>44696</v>
      </c>
      <c r="U57" s="276">
        <f>T57+(6*4.3*7)</f>
        <v>44876.6</v>
      </c>
      <c r="V57" s="491">
        <v>6</v>
      </c>
      <c r="W57" s="84">
        <f t="shared" si="28"/>
        <v>5.999999999999952</v>
      </c>
      <c r="X57" s="50"/>
      <c r="Y57" s="50"/>
      <c r="Z57" s="50"/>
      <c r="AA57" s="189">
        <v>540000</v>
      </c>
      <c r="AB57" s="211">
        <v>0</v>
      </c>
      <c r="AC57" s="115">
        <v>0</v>
      </c>
      <c r="AD57" s="275"/>
      <c r="AE57" s="275">
        <v>25000</v>
      </c>
      <c r="AF57" s="275">
        <v>75000</v>
      </c>
      <c r="AG57" s="275">
        <v>90000</v>
      </c>
      <c r="AH57" s="275">
        <v>100000</v>
      </c>
      <c r="AI57" s="275">
        <v>100000</v>
      </c>
      <c r="AJ57" s="275">
        <v>100000</v>
      </c>
      <c r="AK57" s="275">
        <v>50000</v>
      </c>
      <c r="AL57" s="58"/>
      <c r="AM57" s="58"/>
      <c r="AN57" s="58"/>
      <c r="AO57" s="58"/>
      <c r="AP57" s="47"/>
      <c r="AQ57" s="53">
        <f t="shared" si="29"/>
        <v>540000</v>
      </c>
      <c r="AR57" s="51"/>
      <c r="AS57" s="359">
        <f t="shared" si="11"/>
        <v>0</v>
      </c>
    </row>
    <row r="58" spans="1:47" s="452" customFormat="1" ht="15.75" x14ac:dyDescent="0.25">
      <c r="A58" s="374" t="s">
        <v>650</v>
      </c>
      <c r="B58" s="354" t="s">
        <v>900</v>
      </c>
      <c r="C58" s="52" t="s">
        <v>884</v>
      </c>
      <c r="D58" s="52" t="s">
        <v>885</v>
      </c>
      <c r="E58" s="423" t="s">
        <v>893</v>
      </c>
      <c r="F58" s="396" t="s">
        <v>684</v>
      </c>
      <c r="G58" s="52" t="s">
        <v>623</v>
      </c>
      <c r="H58" s="52" t="s">
        <v>320</v>
      </c>
      <c r="I58" s="394" t="s">
        <v>815</v>
      </c>
      <c r="J58" s="394"/>
      <c r="K58" s="329" t="s">
        <v>370</v>
      </c>
      <c r="L58" s="87">
        <v>44662</v>
      </c>
      <c r="M58" s="87">
        <v>44666</v>
      </c>
      <c r="N58" s="52">
        <v>44609</v>
      </c>
      <c r="O58" s="52">
        <f t="shared" si="30"/>
        <v>44711</v>
      </c>
      <c r="P58" s="88" t="e">
        <f t="shared" si="26"/>
        <v>#VALUE!</v>
      </c>
      <c r="Q58" s="50">
        <f t="shared" si="27"/>
        <v>-53</v>
      </c>
      <c r="R58" s="50">
        <f t="shared" si="27"/>
        <v>45</v>
      </c>
      <c r="S58" s="52" t="s">
        <v>320</v>
      </c>
      <c r="T58" s="376">
        <v>44652</v>
      </c>
      <c r="U58" s="276">
        <f>T58+(6*4.3*7)</f>
        <v>44832.6</v>
      </c>
      <c r="V58" s="491">
        <v>6</v>
      </c>
      <c r="W58" s="84">
        <f t="shared" si="28"/>
        <v>5.999999999999952</v>
      </c>
      <c r="X58" s="50"/>
      <c r="Y58" s="50"/>
      <c r="Z58" s="50"/>
      <c r="AA58" s="189">
        <v>800000</v>
      </c>
      <c r="AB58" s="211">
        <v>0</v>
      </c>
      <c r="AC58" s="115">
        <v>0</v>
      </c>
      <c r="AD58" s="58"/>
      <c r="AE58" s="275">
        <v>75000</v>
      </c>
      <c r="AF58" s="275">
        <v>125000</v>
      </c>
      <c r="AG58" s="275">
        <v>125000</v>
      </c>
      <c r="AH58" s="275">
        <v>150000</v>
      </c>
      <c r="AI58" s="275">
        <v>150000</v>
      </c>
      <c r="AJ58" s="275">
        <v>125000</v>
      </c>
      <c r="AK58" s="275">
        <v>50000</v>
      </c>
      <c r="AL58" s="58"/>
      <c r="AM58" s="58"/>
      <c r="AN58" s="58"/>
      <c r="AO58" s="53"/>
      <c r="AP58" s="47"/>
      <c r="AQ58" s="53">
        <f t="shared" si="29"/>
        <v>800000</v>
      </c>
      <c r="AR58" s="51"/>
      <c r="AS58" s="359">
        <f t="shared" si="11"/>
        <v>0</v>
      </c>
      <c r="AT58" s="36"/>
      <c r="AU58" s="36"/>
    </row>
    <row r="59" spans="1:47" s="36" customFormat="1" ht="15.75" x14ac:dyDescent="0.25">
      <c r="A59" s="374" t="s">
        <v>651</v>
      </c>
      <c r="B59" s="354" t="s">
        <v>608</v>
      </c>
      <c r="C59" s="52" t="s">
        <v>884</v>
      </c>
      <c r="D59" s="52" t="s">
        <v>885</v>
      </c>
      <c r="E59" s="423" t="s">
        <v>893</v>
      </c>
      <c r="F59" s="113" t="s">
        <v>684</v>
      </c>
      <c r="G59" s="52" t="s">
        <v>623</v>
      </c>
      <c r="H59" s="52" t="s">
        <v>320</v>
      </c>
      <c r="I59" s="52" t="s">
        <v>815</v>
      </c>
      <c r="J59" s="52"/>
      <c r="K59" s="329" t="s">
        <v>370</v>
      </c>
      <c r="L59" s="87">
        <v>44690</v>
      </c>
      <c r="M59" s="87">
        <v>44735</v>
      </c>
      <c r="N59" s="52">
        <v>44609</v>
      </c>
      <c r="O59" s="52">
        <f t="shared" si="30"/>
        <v>44780</v>
      </c>
      <c r="P59" s="88" t="e">
        <f t="shared" si="26"/>
        <v>#VALUE!</v>
      </c>
      <c r="Q59" s="50">
        <f t="shared" si="27"/>
        <v>-81</v>
      </c>
      <c r="R59" s="50">
        <f t="shared" si="27"/>
        <v>45</v>
      </c>
      <c r="S59" s="52" t="s">
        <v>320</v>
      </c>
      <c r="T59" s="376">
        <v>44652</v>
      </c>
      <c r="U59" s="276">
        <f>T59+(6*4.3*7)</f>
        <v>44832.6</v>
      </c>
      <c r="V59" s="491">
        <v>6</v>
      </c>
      <c r="W59" s="84">
        <f t="shared" si="28"/>
        <v>5.999999999999952</v>
      </c>
      <c r="X59" s="50"/>
      <c r="Y59" s="50"/>
      <c r="Z59" s="50"/>
      <c r="AA59" s="189">
        <v>690000</v>
      </c>
      <c r="AB59" s="211">
        <v>0</v>
      </c>
      <c r="AC59" s="115">
        <v>0</v>
      </c>
      <c r="AD59" s="58"/>
      <c r="AE59" s="275">
        <v>50000</v>
      </c>
      <c r="AF59" s="275">
        <v>100000</v>
      </c>
      <c r="AG59" s="275">
        <v>120000</v>
      </c>
      <c r="AH59" s="275">
        <v>120000</v>
      </c>
      <c r="AI59" s="275">
        <v>120000</v>
      </c>
      <c r="AJ59" s="275">
        <v>120000</v>
      </c>
      <c r="AK59" s="275">
        <v>60000</v>
      </c>
      <c r="AL59" s="58"/>
      <c r="AM59" s="58"/>
      <c r="AN59" s="58"/>
      <c r="AO59" s="53"/>
      <c r="AP59" s="47"/>
      <c r="AQ59" s="53">
        <f t="shared" si="29"/>
        <v>690000</v>
      </c>
      <c r="AR59" s="51"/>
      <c r="AS59" s="359">
        <f t="shared" si="11"/>
        <v>0</v>
      </c>
      <c r="AU59" s="55"/>
    </row>
    <row r="60" spans="1:47" s="36" customFormat="1" ht="15.75" x14ac:dyDescent="0.25">
      <c r="A60" s="374" t="s">
        <v>901</v>
      </c>
      <c r="B60" s="374" t="s">
        <v>904</v>
      </c>
      <c r="C60" s="52"/>
      <c r="D60" s="52"/>
      <c r="E60" s="423" t="s">
        <v>893</v>
      </c>
      <c r="F60" s="113"/>
      <c r="G60" s="52"/>
      <c r="H60" s="52"/>
      <c r="I60" s="52"/>
      <c r="J60" s="52"/>
      <c r="K60" s="329" t="s">
        <v>370</v>
      </c>
      <c r="L60" s="87"/>
      <c r="M60" s="87">
        <v>44735</v>
      </c>
      <c r="N60" s="52"/>
      <c r="O60" s="52">
        <f t="shared" si="30"/>
        <v>44780</v>
      </c>
      <c r="P60" s="88" t="e">
        <f t="shared" si="26"/>
        <v>#VALUE!</v>
      </c>
      <c r="Q60" s="50"/>
      <c r="R60" s="50">
        <f t="shared" ref="R60:R82" si="31">O60-M60</f>
        <v>45</v>
      </c>
      <c r="S60" s="52" t="s">
        <v>320</v>
      </c>
      <c r="T60" s="376"/>
      <c r="U60" s="276"/>
      <c r="V60" s="491"/>
      <c r="W60" s="50"/>
      <c r="X60" s="50"/>
      <c r="Y60" s="50"/>
      <c r="Z60" s="50"/>
      <c r="AA60" s="189"/>
      <c r="AB60" s="211">
        <v>0</v>
      </c>
      <c r="AC60" s="115">
        <v>0</v>
      </c>
      <c r="AD60" s="58"/>
      <c r="AE60" s="275"/>
      <c r="AF60" s="275"/>
      <c r="AG60" s="275"/>
      <c r="AH60" s="275"/>
      <c r="AI60" s="275"/>
      <c r="AJ60" s="275"/>
      <c r="AK60" s="275"/>
      <c r="AL60" s="58"/>
      <c r="AM60" s="58"/>
      <c r="AN60" s="58"/>
      <c r="AO60" s="53"/>
      <c r="AP60" s="47"/>
      <c r="AQ60" s="53"/>
      <c r="AR60" s="51"/>
      <c r="AS60" s="359"/>
      <c r="AU60" s="55"/>
    </row>
    <row r="61" spans="1:47" s="36" customFormat="1" ht="15.75" x14ac:dyDescent="0.25">
      <c r="A61" s="374" t="s">
        <v>902</v>
      </c>
      <c r="B61" s="374" t="s">
        <v>905</v>
      </c>
      <c r="C61" s="52"/>
      <c r="D61" s="52"/>
      <c r="E61" s="423" t="s">
        <v>893</v>
      </c>
      <c r="F61" s="113"/>
      <c r="G61" s="52"/>
      <c r="H61" s="52"/>
      <c r="I61" s="52"/>
      <c r="J61" s="52"/>
      <c r="K61" s="329" t="s">
        <v>370</v>
      </c>
      <c r="L61" s="87">
        <v>44690</v>
      </c>
      <c r="M61" s="87">
        <v>44735</v>
      </c>
      <c r="N61" s="52"/>
      <c r="O61" s="52">
        <f t="shared" si="30"/>
        <v>44780</v>
      </c>
      <c r="P61" s="88" t="e">
        <f t="shared" si="26"/>
        <v>#VALUE!</v>
      </c>
      <c r="Q61" s="50"/>
      <c r="R61" s="50">
        <f t="shared" si="31"/>
        <v>45</v>
      </c>
      <c r="S61" s="52" t="s">
        <v>320</v>
      </c>
      <c r="T61" s="376"/>
      <c r="U61" s="276"/>
      <c r="V61" s="491"/>
      <c r="W61" s="50"/>
      <c r="X61" s="50"/>
      <c r="Y61" s="50"/>
      <c r="Z61" s="50"/>
      <c r="AA61" s="189"/>
      <c r="AB61" s="211">
        <v>0</v>
      </c>
      <c r="AC61" s="115">
        <v>0</v>
      </c>
      <c r="AD61" s="58"/>
      <c r="AE61" s="275"/>
      <c r="AF61" s="275"/>
      <c r="AG61" s="275"/>
      <c r="AH61" s="275"/>
      <c r="AI61" s="275"/>
      <c r="AJ61" s="275"/>
      <c r="AK61" s="275"/>
      <c r="AL61" s="58"/>
      <c r="AM61" s="58"/>
      <c r="AN61" s="58"/>
      <c r="AO61" s="53"/>
      <c r="AP61" s="47"/>
      <c r="AQ61" s="53"/>
      <c r="AR61" s="51"/>
      <c r="AS61" s="359"/>
      <c r="AU61" s="55"/>
    </row>
    <row r="62" spans="1:47" s="36" customFormat="1" ht="15.75" x14ac:dyDescent="0.25">
      <c r="A62" s="374" t="s">
        <v>903</v>
      </c>
      <c r="B62" s="354" t="s">
        <v>906</v>
      </c>
      <c r="C62" s="52"/>
      <c r="D62" s="52"/>
      <c r="E62" s="423" t="s">
        <v>893</v>
      </c>
      <c r="F62" s="113"/>
      <c r="G62" s="52"/>
      <c r="H62" s="52"/>
      <c r="I62" s="52"/>
      <c r="J62" s="52"/>
      <c r="K62" s="329" t="s">
        <v>370</v>
      </c>
      <c r="L62" s="87">
        <v>44690</v>
      </c>
      <c r="M62" s="87" t="s">
        <v>24</v>
      </c>
      <c r="N62" s="52"/>
      <c r="O62" s="52" t="s">
        <v>24</v>
      </c>
      <c r="P62" s="88" t="e">
        <f t="shared" si="26"/>
        <v>#VALUE!</v>
      </c>
      <c r="Q62" s="50"/>
      <c r="R62" s="50" t="s">
        <v>24</v>
      </c>
      <c r="S62" s="52" t="s">
        <v>24</v>
      </c>
      <c r="T62" s="376"/>
      <c r="U62" s="276"/>
      <c r="V62" s="491"/>
      <c r="W62" s="50"/>
      <c r="X62" s="50"/>
      <c r="Y62" s="50"/>
      <c r="Z62" s="50"/>
      <c r="AA62" s="189"/>
      <c r="AB62" s="211">
        <v>0</v>
      </c>
      <c r="AC62" s="115">
        <v>0</v>
      </c>
      <c r="AD62" s="58"/>
      <c r="AE62" s="275"/>
      <c r="AF62" s="275"/>
      <c r="AG62" s="275"/>
      <c r="AH62" s="275"/>
      <c r="AI62" s="275"/>
      <c r="AJ62" s="275"/>
      <c r="AK62" s="275"/>
      <c r="AL62" s="58"/>
      <c r="AM62" s="58"/>
      <c r="AN62" s="58"/>
      <c r="AO62" s="53"/>
      <c r="AP62" s="47"/>
      <c r="AQ62" s="53"/>
      <c r="AR62" s="51"/>
      <c r="AS62" s="359"/>
      <c r="AU62" s="55"/>
    </row>
    <row r="63" spans="1:47" s="36" customFormat="1" ht="15.75" x14ac:dyDescent="0.25">
      <c r="A63" s="374" t="s">
        <v>206</v>
      </c>
      <c r="B63" s="374" t="s">
        <v>207</v>
      </c>
      <c r="C63" s="52" t="s">
        <v>875</v>
      </c>
      <c r="D63" s="52" t="s">
        <v>778</v>
      </c>
      <c r="E63" s="52" t="s">
        <v>892</v>
      </c>
      <c r="F63" s="34"/>
      <c r="G63" s="52" t="s">
        <v>623</v>
      </c>
      <c r="H63" s="52">
        <v>44616</v>
      </c>
      <c r="I63" s="52" t="s">
        <v>822</v>
      </c>
      <c r="J63" s="52"/>
      <c r="K63" s="87">
        <v>44631</v>
      </c>
      <c r="L63" s="87">
        <v>44592</v>
      </c>
      <c r="M63" s="329">
        <v>44595</v>
      </c>
      <c r="N63" s="299">
        <v>44637</v>
      </c>
      <c r="O63" s="87">
        <f>M63+30</f>
        <v>44625</v>
      </c>
      <c r="P63" s="88">
        <f t="shared" si="26"/>
        <v>-6</v>
      </c>
      <c r="Q63" s="50">
        <f t="shared" ref="Q63:Q82" si="32">N63-L63</f>
        <v>45</v>
      </c>
      <c r="R63" s="88">
        <f t="shared" si="31"/>
        <v>30</v>
      </c>
      <c r="S63" s="52" t="s">
        <v>320</v>
      </c>
      <c r="T63" s="376">
        <v>44638</v>
      </c>
      <c r="U63" s="347">
        <f>T63+(6*4.3*7)</f>
        <v>44818.6</v>
      </c>
      <c r="V63" s="50">
        <v>5.999999999999952</v>
      </c>
      <c r="W63" s="50">
        <f t="shared" ref="W63:W72" si="33">((U63-T63)/7)/4.3</f>
        <v>5.999999999999952</v>
      </c>
      <c r="X63" s="50"/>
      <c r="Y63" s="50"/>
      <c r="Z63" s="50"/>
      <c r="AA63" s="53">
        <v>2500000</v>
      </c>
      <c r="AB63" s="211">
        <v>0</v>
      </c>
      <c r="AC63" s="115">
        <v>0</v>
      </c>
      <c r="AD63" s="58"/>
      <c r="AE63" s="275">
        <v>75000</v>
      </c>
      <c r="AF63" s="275">
        <v>125000</v>
      </c>
      <c r="AG63" s="275">
        <v>200000</v>
      </c>
      <c r="AH63" s="275">
        <v>200000</v>
      </c>
      <c r="AI63" s="275">
        <v>200000</v>
      </c>
      <c r="AJ63" s="275">
        <v>200000</v>
      </c>
      <c r="AK63" s="275">
        <v>200000</v>
      </c>
      <c r="AL63" s="275">
        <v>200000</v>
      </c>
      <c r="AM63" s="275">
        <v>200000</v>
      </c>
      <c r="AN63" s="275">
        <v>200000</v>
      </c>
      <c r="AO63" s="275">
        <v>700000</v>
      </c>
      <c r="AP63" s="47"/>
      <c r="AQ63" s="53">
        <f t="shared" ref="AQ63:AQ82" si="34">SUM(AB63:AP63)</f>
        <v>2500000</v>
      </c>
      <c r="AR63" s="51"/>
      <c r="AS63" s="359">
        <f t="shared" ref="AS63:AS82" si="35">AQ63-AA63</f>
        <v>0</v>
      </c>
    </row>
    <row r="64" spans="1:47" s="36" customFormat="1" ht="15.75" x14ac:dyDescent="0.25">
      <c r="A64" s="113" t="s">
        <v>591</v>
      </c>
      <c r="B64" s="114" t="s">
        <v>592</v>
      </c>
      <c r="C64" s="52" t="s">
        <v>45</v>
      </c>
      <c r="D64" s="52" t="s">
        <v>45</v>
      </c>
      <c r="E64" s="423" t="s">
        <v>890</v>
      </c>
      <c r="F64" s="61" t="s">
        <v>698</v>
      </c>
      <c r="G64" s="52" t="s">
        <v>623</v>
      </c>
      <c r="H64" s="52" t="s">
        <v>320</v>
      </c>
      <c r="I64" s="423" t="s">
        <v>825</v>
      </c>
      <c r="J64" s="423"/>
      <c r="K64" s="87">
        <v>44713</v>
      </c>
      <c r="L64" s="87">
        <v>44668</v>
      </c>
      <c r="M64" s="87">
        <v>44682</v>
      </c>
      <c r="N64" s="52">
        <v>44713</v>
      </c>
      <c r="O64" s="52">
        <f>M64+45</f>
        <v>44727</v>
      </c>
      <c r="P64" s="88">
        <f t="shared" si="26"/>
        <v>14</v>
      </c>
      <c r="Q64" s="50">
        <f t="shared" si="32"/>
        <v>45</v>
      </c>
      <c r="R64" s="50">
        <f t="shared" si="31"/>
        <v>45</v>
      </c>
      <c r="S64" s="52" t="s">
        <v>320</v>
      </c>
      <c r="T64" s="52">
        <v>44713</v>
      </c>
      <c r="U64" s="52">
        <f>T64+(6*4.3*7)</f>
        <v>44893.599999999999</v>
      </c>
      <c r="V64" s="50">
        <v>5.999999999999952</v>
      </c>
      <c r="W64" s="50">
        <f t="shared" si="33"/>
        <v>5.999999999999952</v>
      </c>
      <c r="X64" s="50"/>
      <c r="Y64" s="50"/>
      <c r="Z64" s="50"/>
      <c r="AA64" s="53">
        <v>400000</v>
      </c>
      <c r="AB64" s="211">
        <v>0</v>
      </c>
      <c r="AC64" s="115">
        <v>0</v>
      </c>
      <c r="AD64" s="275">
        <v>50000</v>
      </c>
      <c r="AE64" s="275">
        <v>60000</v>
      </c>
      <c r="AF64" s="275">
        <v>60000</v>
      </c>
      <c r="AG64" s="275">
        <v>60000</v>
      </c>
      <c r="AH64" s="275">
        <v>45000</v>
      </c>
      <c r="AI64" s="58"/>
      <c r="AJ64" s="58"/>
      <c r="AK64" s="58"/>
      <c r="AL64" s="58"/>
      <c r="AM64" s="58">
        <v>25000</v>
      </c>
      <c r="AN64" s="58"/>
      <c r="AO64" s="58"/>
      <c r="AP64" s="47"/>
      <c r="AQ64" s="53">
        <f t="shared" si="34"/>
        <v>300000</v>
      </c>
      <c r="AR64" s="51"/>
      <c r="AS64" s="359">
        <f t="shared" si="35"/>
        <v>-100000</v>
      </c>
      <c r="AU64" s="55"/>
    </row>
    <row r="65" spans="1:47" s="36" customFormat="1" ht="15.75" x14ac:dyDescent="0.25">
      <c r="A65" s="113" t="s">
        <v>717</v>
      </c>
      <c r="B65" s="114" t="s">
        <v>524</v>
      </c>
      <c r="C65" s="52" t="s">
        <v>45</v>
      </c>
      <c r="D65" s="52" t="s">
        <v>45</v>
      </c>
      <c r="E65" s="423" t="s">
        <v>45</v>
      </c>
      <c r="F65" s="61" t="s">
        <v>522</v>
      </c>
      <c r="G65" s="52" t="s">
        <v>623</v>
      </c>
      <c r="H65" s="52" t="s">
        <v>320</v>
      </c>
      <c r="I65" s="423" t="s">
        <v>824</v>
      </c>
      <c r="J65" s="423"/>
      <c r="K65" s="87">
        <v>44652</v>
      </c>
      <c r="L65" s="87">
        <v>44668</v>
      </c>
      <c r="M65" s="87">
        <v>44752</v>
      </c>
      <c r="N65" s="52">
        <v>44713</v>
      </c>
      <c r="O65" s="52">
        <f>M65+45</f>
        <v>44797</v>
      </c>
      <c r="P65" s="88">
        <f t="shared" si="26"/>
        <v>145</v>
      </c>
      <c r="Q65" s="50">
        <f t="shared" si="32"/>
        <v>45</v>
      </c>
      <c r="R65" s="50">
        <f t="shared" si="31"/>
        <v>45</v>
      </c>
      <c r="S65" s="52" t="s">
        <v>320</v>
      </c>
      <c r="T65" s="87">
        <v>44713</v>
      </c>
      <c r="U65" s="52">
        <f>T65+(10*4.3*7)</f>
        <v>45014</v>
      </c>
      <c r="V65" s="50">
        <v>10</v>
      </c>
      <c r="W65" s="50">
        <f t="shared" si="33"/>
        <v>10</v>
      </c>
      <c r="X65" s="50"/>
      <c r="Y65" s="50"/>
      <c r="Z65" s="50"/>
      <c r="AA65" s="53">
        <v>3000000</v>
      </c>
      <c r="AB65" s="211">
        <v>0</v>
      </c>
      <c r="AC65" s="115">
        <v>0</v>
      </c>
      <c r="AD65" s="58"/>
      <c r="AE65" s="275">
        <v>125000</v>
      </c>
      <c r="AF65" s="275">
        <v>250000</v>
      </c>
      <c r="AG65" s="275">
        <v>300000</v>
      </c>
      <c r="AH65" s="275">
        <v>300000</v>
      </c>
      <c r="AI65" s="275">
        <v>300000</v>
      </c>
      <c r="AJ65" s="275">
        <v>300000</v>
      </c>
      <c r="AK65" s="275">
        <v>300000</v>
      </c>
      <c r="AL65" s="275">
        <v>300000</v>
      </c>
      <c r="AM65" s="275">
        <v>300000</v>
      </c>
      <c r="AN65" s="275">
        <v>300000</v>
      </c>
      <c r="AO65" s="275">
        <v>225000</v>
      </c>
      <c r="AP65" s="47"/>
      <c r="AQ65" s="53">
        <f t="shared" si="34"/>
        <v>3000000</v>
      </c>
      <c r="AR65" s="51"/>
      <c r="AS65" s="359">
        <f t="shared" si="35"/>
        <v>0</v>
      </c>
    </row>
    <row r="66" spans="1:47" s="36" customFormat="1" ht="15.75" x14ac:dyDescent="0.25">
      <c r="A66" s="462" t="s">
        <v>719</v>
      </c>
      <c r="B66" s="393" t="s">
        <v>661</v>
      </c>
      <c r="C66" s="52" t="s">
        <v>874</v>
      </c>
      <c r="D66" s="52" t="s">
        <v>402</v>
      </c>
      <c r="E66" s="423" t="s">
        <v>893</v>
      </c>
      <c r="F66" s="61"/>
      <c r="G66" s="52" t="s">
        <v>623</v>
      </c>
      <c r="H66" s="52" t="s">
        <v>320</v>
      </c>
      <c r="I66" s="423" t="s">
        <v>826</v>
      </c>
      <c r="J66" s="423"/>
      <c r="K66" s="329">
        <v>44544</v>
      </c>
      <c r="L66" s="87">
        <v>44589</v>
      </c>
      <c r="M66" s="329">
        <v>44532</v>
      </c>
      <c r="N66" s="52">
        <v>44619</v>
      </c>
      <c r="O66" s="87">
        <f>M66+102</f>
        <v>44634</v>
      </c>
      <c r="P66" s="88">
        <f t="shared" si="26"/>
        <v>90</v>
      </c>
      <c r="Q66" s="50">
        <f t="shared" si="32"/>
        <v>30</v>
      </c>
      <c r="R66" s="88">
        <f t="shared" si="31"/>
        <v>102</v>
      </c>
      <c r="S66" s="52" t="s">
        <v>320</v>
      </c>
      <c r="T66" s="376">
        <v>44632</v>
      </c>
      <c r="U66" s="347">
        <v>44804</v>
      </c>
      <c r="V66" s="50">
        <v>6.3455149501661126</v>
      </c>
      <c r="W66" s="50">
        <f t="shared" si="33"/>
        <v>5.7142857142857153</v>
      </c>
      <c r="X66" s="50"/>
      <c r="Y66" s="50"/>
      <c r="Z66" s="50" t="s">
        <v>370</v>
      </c>
      <c r="AA66" s="182">
        <v>2860072</v>
      </c>
      <c r="AB66" s="211">
        <v>0</v>
      </c>
      <c r="AC66" s="115">
        <v>0</v>
      </c>
      <c r="AD66" s="58"/>
      <c r="AE66" s="275">
        <v>250000</v>
      </c>
      <c r="AF66" s="275">
        <v>250000</v>
      </c>
      <c r="AG66" s="275">
        <v>250000</v>
      </c>
      <c r="AH66" s="275">
        <v>300000</v>
      </c>
      <c r="AI66" s="275">
        <v>300000</v>
      </c>
      <c r="AJ66" s="275">
        <v>300000</v>
      </c>
      <c r="AK66" s="275">
        <v>300000</v>
      </c>
      <c r="AL66" s="275">
        <v>300000</v>
      </c>
      <c r="AM66" s="275">
        <v>300000</v>
      </c>
      <c r="AN66" s="275">
        <v>310072</v>
      </c>
      <c r="AO66" s="58"/>
      <c r="AP66" s="47"/>
      <c r="AQ66" s="53">
        <f t="shared" si="34"/>
        <v>2860072</v>
      </c>
      <c r="AR66" s="51"/>
      <c r="AS66" s="359">
        <f t="shared" si="35"/>
        <v>0</v>
      </c>
    </row>
    <row r="67" spans="1:47" s="36" customFormat="1" ht="15.75" x14ac:dyDescent="0.25">
      <c r="A67" s="113" t="s">
        <v>744</v>
      </c>
      <c r="B67" s="113" t="s">
        <v>733</v>
      </c>
      <c r="C67" s="52" t="s">
        <v>45</v>
      </c>
      <c r="D67" s="52" t="s">
        <v>45</v>
      </c>
      <c r="E67" s="52" t="s">
        <v>45</v>
      </c>
      <c r="F67" s="34"/>
      <c r="G67" s="52" t="s">
        <v>623</v>
      </c>
      <c r="H67" s="52" t="s">
        <v>320</v>
      </c>
      <c r="I67" s="52" t="s">
        <v>824</v>
      </c>
      <c r="J67" s="52"/>
      <c r="K67" s="52" t="s">
        <v>320</v>
      </c>
      <c r="L67" s="87">
        <v>44713</v>
      </c>
      <c r="M67" s="87">
        <v>44713</v>
      </c>
      <c r="N67" s="52">
        <v>44758</v>
      </c>
      <c r="O67" s="52">
        <f>M67+45</f>
        <v>44758</v>
      </c>
      <c r="P67" s="88" t="e">
        <f t="shared" si="26"/>
        <v>#VALUE!</v>
      </c>
      <c r="Q67" s="50">
        <f t="shared" si="32"/>
        <v>45</v>
      </c>
      <c r="R67" s="50">
        <f t="shared" si="31"/>
        <v>45</v>
      </c>
      <c r="S67" s="52" t="s">
        <v>320</v>
      </c>
      <c r="T67" s="52">
        <f>O67+30</f>
        <v>44788</v>
      </c>
      <c r="U67" s="52">
        <f>T67+(6*4.3*7)</f>
        <v>44968.6</v>
      </c>
      <c r="V67" s="50">
        <v>5.999999999999952</v>
      </c>
      <c r="W67" s="50">
        <f t="shared" si="33"/>
        <v>5.999999999999952</v>
      </c>
      <c r="X67" s="50"/>
      <c r="Y67" s="50"/>
      <c r="Z67" s="50"/>
      <c r="AA67" s="53">
        <v>750000</v>
      </c>
      <c r="AB67" s="211">
        <v>0</v>
      </c>
      <c r="AC67" s="115">
        <v>0</v>
      </c>
      <c r="AD67" s="58"/>
      <c r="AE67" s="275">
        <v>50000</v>
      </c>
      <c r="AF67" s="275">
        <v>75000</v>
      </c>
      <c r="AG67" s="275">
        <v>130000</v>
      </c>
      <c r="AH67" s="275">
        <v>130000</v>
      </c>
      <c r="AI67" s="275">
        <v>130000</v>
      </c>
      <c r="AJ67" s="275">
        <v>130000</v>
      </c>
      <c r="AK67" s="275">
        <v>105000</v>
      </c>
      <c r="AL67" s="58"/>
      <c r="AM67" s="58"/>
      <c r="AN67" s="58"/>
      <c r="AO67" s="53"/>
      <c r="AP67" s="47"/>
      <c r="AQ67" s="53">
        <f t="shared" si="34"/>
        <v>750000</v>
      </c>
      <c r="AR67" s="51"/>
      <c r="AS67" s="359">
        <f t="shared" si="35"/>
        <v>0</v>
      </c>
      <c r="AU67" s="55"/>
    </row>
    <row r="68" spans="1:47" s="36" customFormat="1" ht="15.75" x14ac:dyDescent="0.25">
      <c r="A68" s="374" t="s">
        <v>764</v>
      </c>
      <c r="B68" s="375" t="s">
        <v>765</v>
      </c>
      <c r="C68" s="52" t="s">
        <v>886</v>
      </c>
      <c r="D68" s="52" t="s">
        <v>401</v>
      </c>
      <c r="E68" s="52" t="s">
        <v>890</v>
      </c>
      <c r="F68" s="34"/>
      <c r="G68" s="52" t="s">
        <v>623</v>
      </c>
      <c r="H68" s="52">
        <v>44610</v>
      </c>
      <c r="I68" s="52" t="s">
        <v>829</v>
      </c>
      <c r="J68" s="52"/>
      <c r="K68" s="329">
        <v>44610</v>
      </c>
      <c r="L68" s="87">
        <v>44591</v>
      </c>
      <c r="M68" s="329">
        <v>44593</v>
      </c>
      <c r="N68" s="52">
        <v>44621</v>
      </c>
      <c r="O68" s="329">
        <v>44609</v>
      </c>
      <c r="P68" s="346">
        <f t="shared" si="26"/>
        <v>-1</v>
      </c>
      <c r="Q68" s="50">
        <f t="shared" si="32"/>
        <v>30</v>
      </c>
      <c r="R68" s="50">
        <f t="shared" si="31"/>
        <v>16</v>
      </c>
      <c r="S68" s="52" t="s">
        <v>370</v>
      </c>
      <c r="T68" s="490">
        <v>44627</v>
      </c>
      <c r="U68" s="490">
        <v>44867</v>
      </c>
      <c r="V68" s="50">
        <v>9.0000000000000497</v>
      </c>
      <c r="W68" s="50">
        <f t="shared" si="33"/>
        <v>7.9734219269102988</v>
      </c>
      <c r="X68" s="50"/>
      <c r="Y68" s="50"/>
      <c r="Z68" s="50"/>
      <c r="AA68" s="53">
        <v>1360000</v>
      </c>
      <c r="AB68" s="211">
        <v>0</v>
      </c>
      <c r="AC68" s="115">
        <v>0</v>
      </c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>
        <v>1360000</v>
      </c>
      <c r="AO68" s="53"/>
      <c r="AP68" s="47"/>
      <c r="AQ68" s="53">
        <f t="shared" si="34"/>
        <v>1360000</v>
      </c>
      <c r="AR68" s="51"/>
      <c r="AS68" s="359">
        <f t="shared" si="35"/>
        <v>0</v>
      </c>
      <c r="AU68" s="55"/>
    </row>
    <row r="69" spans="1:47" s="36" customFormat="1" ht="15.75" x14ac:dyDescent="0.25">
      <c r="A69" s="386" t="s">
        <v>768</v>
      </c>
      <c r="B69" s="393" t="s">
        <v>909</v>
      </c>
      <c r="C69" s="52" t="s">
        <v>886</v>
      </c>
      <c r="D69" s="52" t="s">
        <v>401</v>
      </c>
      <c r="E69" s="52" t="s">
        <v>890</v>
      </c>
      <c r="F69" s="34"/>
      <c r="G69" s="52" t="s">
        <v>623</v>
      </c>
      <c r="H69" s="52">
        <v>44610</v>
      </c>
      <c r="I69" s="52" t="s">
        <v>829</v>
      </c>
      <c r="J69" s="52"/>
      <c r="K69" s="329">
        <v>44610</v>
      </c>
      <c r="L69" s="87">
        <v>44591</v>
      </c>
      <c r="M69" s="329">
        <v>44593</v>
      </c>
      <c r="N69" s="52">
        <v>44636</v>
      </c>
      <c r="O69" s="329">
        <v>44609</v>
      </c>
      <c r="P69" s="346">
        <f t="shared" si="26"/>
        <v>-1</v>
      </c>
      <c r="Q69" s="50">
        <f t="shared" si="32"/>
        <v>45</v>
      </c>
      <c r="R69" s="50">
        <f t="shared" si="31"/>
        <v>16</v>
      </c>
      <c r="S69" s="52" t="s">
        <v>370</v>
      </c>
      <c r="T69" s="276">
        <f>O69+30</f>
        <v>44639</v>
      </c>
      <c r="U69" s="276">
        <f>T69+(6*4.3*7)</f>
        <v>44819.6</v>
      </c>
      <c r="V69" s="491">
        <v>5</v>
      </c>
      <c r="W69" s="50">
        <f t="shared" si="33"/>
        <v>5.999999999999952</v>
      </c>
      <c r="X69" s="50"/>
      <c r="Y69" s="50"/>
      <c r="Z69" s="50"/>
      <c r="AA69" s="53">
        <v>175000</v>
      </c>
      <c r="AB69" s="211">
        <v>0</v>
      </c>
      <c r="AC69" s="115">
        <v>0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>
        <v>175000</v>
      </c>
      <c r="AO69" s="53"/>
      <c r="AP69" s="47"/>
      <c r="AQ69" s="53">
        <f t="shared" si="34"/>
        <v>175000</v>
      </c>
      <c r="AR69" s="51"/>
      <c r="AS69" s="359">
        <f t="shared" si="35"/>
        <v>0</v>
      </c>
      <c r="AU69" s="55"/>
    </row>
    <row r="70" spans="1:47" s="36" customFormat="1" ht="15.75" x14ac:dyDescent="0.25">
      <c r="A70" s="374" t="s">
        <v>770</v>
      </c>
      <c r="B70" s="375" t="s">
        <v>910</v>
      </c>
      <c r="C70" s="52" t="s">
        <v>886</v>
      </c>
      <c r="D70" s="52" t="s">
        <v>401</v>
      </c>
      <c r="E70" s="52" t="s">
        <v>890</v>
      </c>
      <c r="F70" s="34"/>
      <c r="G70" s="52" t="s">
        <v>623</v>
      </c>
      <c r="H70" s="52">
        <v>44610</v>
      </c>
      <c r="I70" s="52" t="s">
        <v>829</v>
      </c>
      <c r="J70" s="52"/>
      <c r="K70" s="329">
        <v>44610</v>
      </c>
      <c r="L70" s="87">
        <v>44591</v>
      </c>
      <c r="M70" s="329">
        <v>44593</v>
      </c>
      <c r="N70" s="52">
        <v>44636</v>
      </c>
      <c r="O70" s="329">
        <v>44609</v>
      </c>
      <c r="P70" s="346">
        <f t="shared" si="26"/>
        <v>-1</v>
      </c>
      <c r="Q70" s="50">
        <f t="shared" si="32"/>
        <v>45</v>
      </c>
      <c r="R70" s="50">
        <f t="shared" si="31"/>
        <v>16</v>
      </c>
      <c r="S70" s="52" t="s">
        <v>370</v>
      </c>
      <c r="T70" s="276">
        <f>O70+30</f>
        <v>44639</v>
      </c>
      <c r="U70" s="276">
        <f>T70+(6*4.3*7)</f>
        <v>44819.6</v>
      </c>
      <c r="V70" s="491">
        <v>5</v>
      </c>
      <c r="W70" s="50">
        <f t="shared" si="33"/>
        <v>5.999999999999952</v>
      </c>
      <c r="X70" s="50"/>
      <c r="Y70" s="50"/>
      <c r="Z70" s="50"/>
      <c r="AA70" s="53">
        <v>300000</v>
      </c>
      <c r="AB70" s="211">
        <v>0</v>
      </c>
      <c r="AC70" s="115">
        <v>0</v>
      </c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>
        <v>300000</v>
      </c>
      <c r="AO70" s="53"/>
      <c r="AP70" s="47"/>
      <c r="AQ70" s="53">
        <f t="shared" si="34"/>
        <v>300000</v>
      </c>
      <c r="AR70" s="51"/>
      <c r="AS70" s="359">
        <f t="shared" si="35"/>
        <v>0</v>
      </c>
    </row>
    <row r="71" spans="1:47" s="36" customFormat="1" ht="15.75" x14ac:dyDescent="0.25">
      <c r="A71" s="374" t="s">
        <v>771</v>
      </c>
      <c r="B71" s="410" t="s">
        <v>911</v>
      </c>
      <c r="C71" s="52" t="s">
        <v>886</v>
      </c>
      <c r="D71" s="52" t="s">
        <v>401</v>
      </c>
      <c r="E71" s="52" t="s">
        <v>890</v>
      </c>
      <c r="F71" s="34"/>
      <c r="G71" s="52" t="s">
        <v>623</v>
      </c>
      <c r="H71" s="52">
        <v>44610</v>
      </c>
      <c r="I71" s="52" t="s">
        <v>829</v>
      </c>
      <c r="J71" s="52"/>
      <c r="K71" s="329">
        <v>44610</v>
      </c>
      <c r="L71" s="87">
        <v>44591</v>
      </c>
      <c r="M71" s="329">
        <v>44713</v>
      </c>
      <c r="N71" s="52">
        <v>44636</v>
      </c>
      <c r="O71" s="87">
        <f>M71+45</f>
        <v>44758</v>
      </c>
      <c r="P71" s="88">
        <f t="shared" si="26"/>
        <v>148</v>
      </c>
      <c r="Q71" s="50">
        <f t="shared" si="32"/>
        <v>45</v>
      </c>
      <c r="R71" s="50">
        <f t="shared" si="31"/>
        <v>45</v>
      </c>
      <c r="S71" s="52" t="s">
        <v>320</v>
      </c>
      <c r="T71" s="376">
        <f>O71+30</f>
        <v>44788</v>
      </c>
      <c r="U71" s="490">
        <f>T71+(4*4.3*7)</f>
        <v>44908.4</v>
      </c>
      <c r="V71" s="491">
        <v>5</v>
      </c>
      <c r="W71" s="50">
        <f t="shared" si="33"/>
        <v>4.0000000000000488</v>
      </c>
      <c r="X71" s="50"/>
      <c r="Y71" s="50"/>
      <c r="Z71" s="50"/>
      <c r="AA71" s="53">
        <v>95000</v>
      </c>
      <c r="AB71" s="211">
        <v>0</v>
      </c>
      <c r="AC71" s="115">
        <v>0</v>
      </c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>
        <v>95000</v>
      </c>
      <c r="AO71" s="53"/>
      <c r="AP71" s="47"/>
      <c r="AQ71" s="53">
        <f t="shared" si="34"/>
        <v>95000</v>
      </c>
      <c r="AR71" s="51"/>
      <c r="AS71" s="359">
        <f t="shared" si="35"/>
        <v>0</v>
      </c>
      <c r="AU71" s="55"/>
    </row>
    <row r="72" spans="1:47" s="36" customFormat="1" ht="15.75" x14ac:dyDescent="0.25">
      <c r="A72" s="374" t="s">
        <v>845</v>
      </c>
      <c r="B72" s="375" t="s">
        <v>776</v>
      </c>
      <c r="C72" s="52" t="s">
        <v>874</v>
      </c>
      <c r="D72" s="52" t="s">
        <v>873</v>
      </c>
      <c r="E72" s="52" t="s">
        <v>890</v>
      </c>
      <c r="F72" s="56" t="s">
        <v>862</v>
      </c>
      <c r="G72" s="52" t="s">
        <v>623</v>
      </c>
      <c r="H72" s="52">
        <v>44610</v>
      </c>
      <c r="I72" s="87" t="s">
        <v>832</v>
      </c>
      <c r="J72" s="87"/>
      <c r="K72" s="87">
        <v>44634</v>
      </c>
      <c r="L72" s="87">
        <v>44591</v>
      </c>
      <c r="M72" s="329">
        <v>44576</v>
      </c>
      <c r="N72" s="87">
        <v>44621</v>
      </c>
      <c r="O72" s="87">
        <v>44634</v>
      </c>
      <c r="P72" s="88">
        <f t="shared" si="26"/>
        <v>0</v>
      </c>
      <c r="Q72" s="50">
        <f t="shared" si="32"/>
        <v>30</v>
      </c>
      <c r="R72" s="50">
        <f t="shared" si="31"/>
        <v>58</v>
      </c>
      <c r="S72" s="52" t="s">
        <v>320</v>
      </c>
      <c r="T72" s="376">
        <v>44635</v>
      </c>
      <c r="U72" s="52">
        <f>T72+(9*4.3*7)</f>
        <v>44905.9</v>
      </c>
      <c r="V72" s="50">
        <v>9.0000000000000497</v>
      </c>
      <c r="W72" s="50">
        <f t="shared" si="33"/>
        <v>9.0000000000000497</v>
      </c>
      <c r="X72" s="50"/>
      <c r="Y72" s="50"/>
      <c r="Z72" s="50"/>
      <c r="AA72" s="53">
        <v>2000000</v>
      </c>
      <c r="AB72" s="211">
        <v>0</v>
      </c>
      <c r="AC72" s="115">
        <v>0</v>
      </c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3">
        <v>2000000</v>
      </c>
      <c r="AP72" s="47"/>
      <c r="AQ72" s="53">
        <f t="shared" si="34"/>
        <v>2000000</v>
      </c>
      <c r="AR72" s="51"/>
      <c r="AS72" s="359">
        <f t="shared" si="35"/>
        <v>0</v>
      </c>
    </row>
    <row r="73" spans="1:47" s="36" customFormat="1" ht="15.75" x14ac:dyDescent="0.25">
      <c r="A73" s="185" t="s">
        <v>800</v>
      </c>
      <c r="B73" s="114" t="s">
        <v>799</v>
      </c>
      <c r="C73" s="52" t="s">
        <v>874</v>
      </c>
      <c r="D73" s="52" t="s">
        <v>873</v>
      </c>
      <c r="E73" s="422" t="s">
        <v>890</v>
      </c>
      <c r="F73" s="57" t="s">
        <v>862</v>
      </c>
      <c r="G73" s="52" t="s">
        <v>623</v>
      </c>
      <c r="H73" s="52" t="s">
        <v>320</v>
      </c>
      <c r="I73" s="434" t="s">
        <v>811</v>
      </c>
      <c r="J73" s="434"/>
      <c r="K73" s="329">
        <v>44566</v>
      </c>
      <c r="L73" s="52"/>
      <c r="M73" s="87"/>
      <c r="N73" s="87"/>
      <c r="O73" s="87"/>
      <c r="P73" s="88">
        <f t="shared" si="26"/>
        <v>-44566</v>
      </c>
      <c r="Q73" s="50">
        <f t="shared" si="32"/>
        <v>0</v>
      </c>
      <c r="R73" s="50">
        <f t="shared" si="31"/>
        <v>0</v>
      </c>
      <c r="S73" s="52" t="s">
        <v>320</v>
      </c>
      <c r="T73" s="52"/>
      <c r="U73" s="52"/>
      <c r="V73" s="50"/>
      <c r="W73" s="378"/>
      <c r="X73" s="50"/>
      <c r="Y73" s="50"/>
      <c r="Z73" s="50"/>
      <c r="AA73" s="53"/>
      <c r="AB73" s="211">
        <v>0</v>
      </c>
      <c r="AC73" s="115">
        <v>0</v>
      </c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3"/>
      <c r="AP73" s="47"/>
      <c r="AQ73" s="53">
        <f t="shared" si="34"/>
        <v>0</v>
      </c>
      <c r="AR73" s="51"/>
      <c r="AS73" s="359">
        <f t="shared" si="35"/>
        <v>0</v>
      </c>
    </row>
    <row r="74" spans="1:47" s="36" customFormat="1" ht="15.75" x14ac:dyDescent="0.25">
      <c r="A74" s="461" t="s">
        <v>851</v>
      </c>
      <c r="B74" s="410" t="s">
        <v>846</v>
      </c>
      <c r="C74" s="52" t="s">
        <v>874</v>
      </c>
      <c r="D74" s="52" t="s">
        <v>873</v>
      </c>
      <c r="E74" s="52" t="s">
        <v>890</v>
      </c>
      <c r="F74" s="56" t="s">
        <v>862</v>
      </c>
      <c r="G74" s="52" t="s">
        <v>623</v>
      </c>
      <c r="H74" s="52" t="s">
        <v>320</v>
      </c>
      <c r="I74" s="87" t="s">
        <v>832</v>
      </c>
      <c r="J74" s="87"/>
      <c r="K74" s="52">
        <v>44726</v>
      </c>
      <c r="L74" s="52">
        <v>44726</v>
      </c>
      <c r="M74" s="52">
        <v>44726</v>
      </c>
      <c r="N74" s="87">
        <v>44605</v>
      </c>
      <c r="O74" s="87">
        <f>M74+45</f>
        <v>44771</v>
      </c>
      <c r="P74" s="88">
        <f t="shared" si="26"/>
        <v>45</v>
      </c>
      <c r="Q74" s="50">
        <f t="shared" si="32"/>
        <v>-121</v>
      </c>
      <c r="R74" s="50">
        <f t="shared" si="31"/>
        <v>45</v>
      </c>
      <c r="S74" s="52" t="s">
        <v>320</v>
      </c>
      <c r="T74" s="376">
        <f t="shared" ref="T74:T79" si="36">O74+20</f>
        <v>44791</v>
      </c>
      <c r="U74" s="52">
        <f>T74+(4*4.3*7)</f>
        <v>44911.4</v>
      </c>
      <c r="V74" s="50">
        <v>4</v>
      </c>
      <c r="W74" s="50">
        <f t="shared" ref="W74:W82" si="37">((U74-T74)/7)/4.3</f>
        <v>4.0000000000000488</v>
      </c>
      <c r="X74" s="50"/>
      <c r="Y74" s="50"/>
      <c r="Z74" s="50"/>
      <c r="AA74" s="53"/>
      <c r="AB74" s="211">
        <v>0</v>
      </c>
      <c r="AC74" s="115">
        <v>0</v>
      </c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3"/>
      <c r="AP74" s="47"/>
      <c r="AQ74" s="53">
        <f t="shared" si="34"/>
        <v>0</v>
      </c>
      <c r="AR74" s="51"/>
      <c r="AS74" s="359">
        <f t="shared" si="35"/>
        <v>0</v>
      </c>
    </row>
    <row r="75" spans="1:47" s="36" customFormat="1" ht="15.75" x14ac:dyDescent="0.25">
      <c r="A75" s="374" t="s">
        <v>852</v>
      </c>
      <c r="B75" s="374" t="s">
        <v>847</v>
      </c>
      <c r="C75" s="52" t="s">
        <v>874</v>
      </c>
      <c r="D75" s="52" t="s">
        <v>873</v>
      </c>
      <c r="E75" s="52" t="s">
        <v>890</v>
      </c>
      <c r="F75" s="56" t="s">
        <v>862</v>
      </c>
      <c r="G75" s="52" t="s">
        <v>623</v>
      </c>
      <c r="H75" s="52" t="s">
        <v>320</v>
      </c>
      <c r="I75" s="87" t="s">
        <v>832</v>
      </c>
      <c r="J75" s="87"/>
      <c r="K75" s="52">
        <v>44726</v>
      </c>
      <c r="L75" s="52">
        <v>44726</v>
      </c>
      <c r="M75" s="52">
        <v>44726</v>
      </c>
      <c r="N75" s="87">
        <v>44605</v>
      </c>
      <c r="O75" s="87">
        <f>M75+45</f>
        <v>44771</v>
      </c>
      <c r="P75" s="88">
        <f t="shared" si="26"/>
        <v>45</v>
      </c>
      <c r="Q75" s="50">
        <f t="shared" si="32"/>
        <v>-121</v>
      </c>
      <c r="R75" s="50">
        <f t="shared" si="31"/>
        <v>45</v>
      </c>
      <c r="S75" s="52" t="s">
        <v>320</v>
      </c>
      <c r="T75" s="376">
        <f t="shared" si="36"/>
        <v>44791</v>
      </c>
      <c r="U75" s="52">
        <f>T75+(4*4.3*7)</f>
        <v>44911.4</v>
      </c>
      <c r="V75" s="50">
        <v>4</v>
      </c>
      <c r="W75" s="50">
        <f t="shared" si="37"/>
        <v>4.0000000000000488</v>
      </c>
      <c r="X75" s="50"/>
      <c r="Y75" s="50"/>
      <c r="Z75" s="50"/>
      <c r="AA75" s="53"/>
      <c r="AB75" s="211">
        <v>0</v>
      </c>
      <c r="AC75" s="115">
        <v>0</v>
      </c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3"/>
      <c r="AP75" s="47"/>
      <c r="AQ75" s="53">
        <f t="shared" si="34"/>
        <v>0</v>
      </c>
      <c r="AR75" s="51"/>
      <c r="AS75" s="359">
        <f t="shared" si="35"/>
        <v>0</v>
      </c>
    </row>
    <row r="76" spans="1:47" s="36" customFormat="1" ht="15.75" x14ac:dyDescent="0.25">
      <c r="A76" s="461" t="s">
        <v>853</v>
      </c>
      <c r="B76" s="410" t="s">
        <v>848</v>
      </c>
      <c r="C76" s="52" t="s">
        <v>874</v>
      </c>
      <c r="D76" s="52" t="s">
        <v>873</v>
      </c>
      <c r="E76" s="52" t="s">
        <v>890</v>
      </c>
      <c r="F76" s="389" t="s">
        <v>862</v>
      </c>
      <c r="G76" s="52" t="s">
        <v>623</v>
      </c>
      <c r="H76" s="52" t="s">
        <v>320</v>
      </c>
      <c r="I76" s="435" t="s">
        <v>832</v>
      </c>
      <c r="J76" s="435"/>
      <c r="K76" s="52">
        <v>44726</v>
      </c>
      <c r="L76" s="52">
        <v>44726</v>
      </c>
      <c r="M76" s="52">
        <v>44726</v>
      </c>
      <c r="N76" s="87">
        <v>44605</v>
      </c>
      <c r="O76" s="87">
        <f>M76+45</f>
        <v>44771</v>
      </c>
      <c r="P76" s="88">
        <f t="shared" si="26"/>
        <v>45</v>
      </c>
      <c r="Q76" s="50">
        <f t="shared" si="32"/>
        <v>-121</v>
      </c>
      <c r="R76" s="50">
        <f t="shared" si="31"/>
        <v>45</v>
      </c>
      <c r="S76" s="52" t="s">
        <v>320</v>
      </c>
      <c r="T76" s="376">
        <f t="shared" si="36"/>
        <v>44791</v>
      </c>
      <c r="U76" s="52">
        <f>T76+(4*4.3*7)</f>
        <v>44911.4</v>
      </c>
      <c r="V76" s="50">
        <v>4</v>
      </c>
      <c r="W76" s="50">
        <f t="shared" si="37"/>
        <v>4.0000000000000488</v>
      </c>
      <c r="X76" s="50"/>
      <c r="Y76" s="50"/>
      <c r="Z76" s="50"/>
      <c r="AA76" s="53"/>
      <c r="AB76" s="211">
        <v>0</v>
      </c>
      <c r="AC76" s="115">
        <v>0</v>
      </c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3"/>
      <c r="AP76" s="47"/>
      <c r="AQ76" s="53">
        <f t="shared" si="34"/>
        <v>0</v>
      </c>
      <c r="AR76" s="51"/>
      <c r="AS76" s="359">
        <f t="shared" si="35"/>
        <v>0</v>
      </c>
    </row>
    <row r="77" spans="1:47" s="36" customFormat="1" ht="15.75" x14ac:dyDescent="0.25">
      <c r="A77" s="374" t="s">
        <v>854</v>
      </c>
      <c r="B77" s="410" t="s">
        <v>849</v>
      </c>
      <c r="C77" s="52" t="s">
        <v>874</v>
      </c>
      <c r="D77" s="52" t="s">
        <v>873</v>
      </c>
      <c r="E77" s="52" t="s">
        <v>890</v>
      </c>
      <c r="F77" s="57" t="s">
        <v>862</v>
      </c>
      <c r="G77" s="52" t="s">
        <v>623</v>
      </c>
      <c r="H77" s="52" t="s">
        <v>320</v>
      </c>
      <c r="I77" s="432" t="s">
        <v>832</v>
      </c>
      <c r="J77" s="432"/>
      <c r="K77" s="52">
        <v>44726</v>
      </c>
      <c r="L77" s="52">
        <v>44726</v>
      </c>
      <c r="M77" s="52">
        <v>44726</v>
      </c>
      <c r="N77" s="87">
        <v>44605</v>
      </c>
      <c r="O77" s="87">
        <f>M77+45</f>
        <v>44771</v>
      </c>
      <c r="P77" s="88">
        <f t="shared" si="26"/>
        <v>45</v>
      </c>
      <c r="Q77" s="50">
        <f t="shared" si="32"/>
        <v>-121</v>
      </c>
      <c r="R77" s="50">
        <f t="shared" si="31"/>
        <v>45</v>
      </c>
      <c r="S77" s="52" t="s">
        <v>320</v>
      </c>
      <c r="T77" s="376">
        <f t="shared" si="36"/>
        <v>44791</v>
      </c>
      <c r="U77" s="52">
        <f>T77+(4*4.3*7)</f>
        <v>44911.4</v>
      </c>
      <c r="V77" s="50">
        <v>4</v>
      </c>
      <c r="W77" s="50">
        <f t="shared" si="37"/>
        <v>4.0000000000000488</v>
      </c>
      <c r="X77" s="50"/>
      <c r="Y77" s="50"/>
      <c r="Z77" s="50"/>
      <c r="AA77" s="53"/>
      <c r="AB77" s="211">
        <v>0</v>
      </c>
      <c r="AC77" s="115">
        <v>0</v>
      </c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3"/>
      <c r="AP77" s="47"/>
      <c r="AQ77" s="53">
        <f t="shared" si="34"/>
        <v>0</v>
      </c>
      <c r="AR77" s="51"/>
      <c r="AS77" s="359">
        <f t="shared" si="35"/>
        <v>0</v>
      </c>
    </row>
    <row r="78" spans="1:47" s="36" customFormat="1" ht="15.75" x14ac:dyDescent="0.25">
      <c r="A78" s="374" t="s">
        <v>855</v>
      </c>
      <c r="B78" s="410" t="s">
        <v>850</v>
      </c>
      <c r="C78" s="52" t="s">
        <v>874</v>
      </c>
      <c r="D78" s="52" t="s">
        <v>873</v>
      </c>
      <c r="E78" s="52" t="s">
        <v>890</v>
      </c>
      <c r="F78" s="57" t="s">
        <v>862</v>
      </c>
      <c r="G78" s="52" t="s">
        <v>623</v>
      </c>
      <c r="H78" s="52" t="s">
        <v>320</v>
      </c>
      <c r="I78" s="432" t="s">
        <v>832</v>
      </c>
      <c r="J78" s="432"/>
      <c r="K78" s="52">
        <v>44726</v>
      </c>
      <c r="L78" s="52">
        <v>44726</v>
      </c>
      <c r="M78" s="52">
        <v>44726</v>
      </c>
      <c r="N78" s="87">
        <v>44605</v>
      </c>
      <c r="O78" s="87">
        <f>M78+45</f>
        <v>44771</v>
      </c>
      <c r="P78" s="88">
        <f t="shared" si="26"/>
        <v>45</v>
      </c>
      <c r="Q78" s="50">
        <f t="shared" si="32"/>
        <v>-121</v>
      </c>
      <c r="R78" s="50">
        <f t="shared" si="31"/>
        <v>45</v>
      </c>
      <c r="S78" s="52" t="s">
        <v>320</v>
      </c>
      <c r="T78" s="376">
        <f t="shared" si="36"/>
        <v>44791</v>
      </c>
      <c r="U78" s="52">
        <f>T78+(4*4.3*7)</f>
        <v>44911.4</v>
      </c>
      <c r="V78" s="50">
        <v>4</v>
      </c>
      <c r="W78" s="50">
        <f t="shared" si="37"/>
        <v>4.0000000000000488</v>
      </c>
      <c r="X78" s="50"/>
      <c r="Y78" s="50"/>
      <c r="Z78" s="50"/>
      <c r="AA78" s="53"/>
      <c r="AB78" s="211">
        <v>0</v>
      </c>
      <c r="AC78" s="115">
        <v>0</v>
      </c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3"/>
      <c r="AP78" s="47"/>
      <c r="AQ78" s="53">
        <f t="shared" si="34"/>
        <v>0</v>
      </c>
      <c r="AR78" s="51"/>
      <c r="AS78" s="359">
        <f t="shared" si="35"/>
        <v>0</v>
      </c>
    </row>
    <row r="79" spans="1:47" s="36" customFormat="1" ht="15.75" x14ac:dyDescent="0.25">
      <c r="A79" s="374" t="s">
        <v>775</v>
      </c>
      <c r="B79" s="410" t="s">
        <v>766</v>
      </c>
      <c r="C79" s="52" t="s">
        <v>886</v>
      </c>
      <c r="D79" s="52" t="s">
        <v>401</v>
      </c>
      <c r="E79" s="422" t="s">
        <v>892</v>
      </c>
      <c r="F79" s="57"/>
      <c r="G79" s="52" t="s">
        <v>623</v>
      </c>
      <c r="H79" s="276">
        <v>44610</v>
      </c>
      <c r="I79" s="432" t="s">
        <v>830</v>
      </c>
      <c r="J79" s="432"/>
      <c r="K79" s="109">
        <v>44616</v>
      </c>
      <c r="L79" s="87">
        <v>44601</v>
      </c>
      <c r="M79" s="329">
        <v>44593</v>
      </c>
      <c r="N79" s="87">
        <v>44646</v>
      </c>
      <c r="O79" s="329">
        <f>M79+28</f>
        <v>44621</v>
      </c>
      <c r="P79" s="346">
        <f t="shared" si="26"/>
        <v>5</v>
      </c>
      <c r="Q79" s="50">
        <f t="shared" si="32"/>
        <v>45</v>
      </c>
      <c r="R79" s="333">
        <f t="shared" si="31"/>
        <v>28</v>
      </c>
      <c r="S79" s="52" t="s">
        <v>370</v>
      </c>
      <c r="T79" s="376">
        <f t="shared" si="36"/>
        <v>44641</v>
      </c>
      <c r="U79" s="52">
        <f>T79+(9*4.3*7)</f>
        <v>44911.9</v>
      </c>
      <c r="V79" s="50">
        <v>9.0000000000000497</v>
      </c>
      <c r="W79" s="50">
        <f t="shared" si="37"/>
        <v>9.0000000000000497</v>
      </c>
      <c r="X79" s="50"/>
      <c r="Y79" s="50"/>
      <c r="Z79" s="50"/>
      <c r="AA79" s="53">
        <v>1200000</v>
      </c>
      <c r="AB79" s="211">
        <v>0</v>
      </c>
      <c r="AC79" s="115">
        <v>0</v>
      </c>
      <c r="AD79" s="58"/>
      <c r="AE79" s="275">
        <v>200000</v>
      </c>
      <c r="AF79" s="275">
        <v>200000</v>
      </c>
      <c r="AG79" s="275">
        <v>200000</v>
      </c>
      <c r="AH79" s="275">
        <v>200000</v>
      </c>
      <c r="AI79" s="275">
        <v>200000</v>
      </c>
      <c r="AJ79" s="275">
        <v>200000</v>
      </c>
      <c r="AK79" s="58"/>
      <c r="AL79" s="58"/>
      <c r="AM79" s="58"/>
      <c r="AN79" s="58"/>
      <c r="AO79" s="53"/>
      <c r="AP79" s="47"/>
      <c r="AQ79" s="53">
        <f t="shared" si="34"/>
        <v>1200000</v>
      </c>
      <c r="AR79" s="51"/>
      <c r="AS79" s="359">
        <f t="shared" si="35"/>
        <v>0</v>
      </c>
      <c r="AU79" s="55"/>
    </row>
    <row r="80" spans="1:47" s="36" customFormat="1" ht="15.75" x14ac:dyDescent="0.25">
      <c r="A80" s="374" t="s">
        <v>775</v>
      </c>
      <c r="B80" s="375" t="s">
        <v>767</v>
      </c>
      <c r="C80" s="52" t="s">
        <v>886</v>
      </c>
      <c r="D80" s="52" t="s">
        <v>401</v>
      </c>
      <c r="E80" s="52" t="s">
        <v>892</v>
      </c>
      <c r="F80" s="56"/>
      <c r="G80" s="52" t="s">
        <v>623</v>
      </c>
      <c r="H80" s="276">
        <v>44610</v>
      </c>
      <c r="I80" s="87" t="s">
        <v>830</v>
      </c>
      <c r="J80" s="87"/>
      <c r="K80" s="87">
        <v>44616</v>
      </c>
      <c r="L80" s="87">
        <v>44601</v>
      </c>
      <c r="M80" s="87">
        <v>44743</v>
      </c>
      <c r="N80" s="87">
        <v>44646</v>
      </c>
      <c r="O80" s="87">
        <f>M80+45</f>
        <v>44788</v>
      </c>
      <c r="P80" s="88">
        <f t="shared" si="26"/>
        <v>172</v>
      </c>
      <c r="Q80" s="50">
        <f t="shared" si="32"/>
        <v>45</v>
      </c>
      <c r="R80" s="50">
        <f t="shared" si="31"/>
        <v>45</v>
      </c>
      <c r="S80" s="52" t="s">
        <v>320</v>
      </c>
      <c r="T80" s="376">
        <f>O80+30</f>
        <v>44818</v>
      </c>
      <c r="U80" s="276">
        <f>T80+(4*4.3*7)</f>
        <v>44938.400000000001</v>
      </c>
      <c r="V80" s="88">
        <v>4</v>
      </c>
      <c r="W80" s="50">
        <f t="shared" si="37"/>
        <v>4.0000000000000488</v>
      </c>
      <c r="X80" s="50"/>
      <c r="Y80" s="50"/>
      <c r="Z80" s="50"/>
      <c r="AA80" s="53">
        <v>300000</v>
      </c>
      <c r="AB80" s="211">
        <v>0</v>
      </c>
      <c r="AC80" s="115">
        <v>0</v>
      </c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3">
        <v>300000</v>
      </c>
      <c r="AP80" s="47"/>
      <c r="AQ80" s="53">
        <f t="shared" si="34"/>
        <v>300000</v>
      </c>
      <c r="AR80" s="51"/>
      <c r="AS80" s="359">
        <f t="shared" si="35"/>
        <v>0</v>
      </c>
    </row>
    <row r="81" spans="1:47" s="36" customFormat="1" ht="15.75" x14ac:dyDescent="0.25">
      <c r="A81" s="374" t="s">
        <v>775</v>
      </c>
      <c r="B81" s="374" t="s">
        <v>879</v>
      </c>
      <c r="C81" s="394" t="s">
        <v>886</v>
      </c>
      <c r="D81" s="394" t="s">
        <v>401</v>
      </c>
      <c r="E81" s="394" t="s">
        <v>892</v>
      </c>
      <c r="F81" s="407"/>
      <c r="G81" s="52" t="s">
        <v>623</v>
      </c>
      <c r="H81" s="276">
        <v>44610</v>
      </c>
      <c r="I81" s="406" t="s">
        <v>830</v>
      </c>
      <c r="J81" s="406"/>
      <c r="K81" s="87">
        <v>44616</v>
      </c>
      <c r="L81" s="87">
        <v>44601</v>
      </c>
      <c r="M81" s="87">
        <v>44743</v>
      </c>
      <c r="N81" s="87">
        <v>44646</v>
      </c>
      <c r="O81" s="87">
        <f>M81+45</f>
        <v>44788</v>
      </c>
      <c r="P81" s="88">
        <f t="shared" si="26"/>
        <v>172</v>
      </c>
      <c r="Q81" s="50">
        <f t="shared" si="32"/>
        <v>45</v>
      </c>
      <c r="R81" s="50">
        <f t="shared" si="31"/>
        <v>45</v>
      </c>
      <c r="S81" s="52" t="s">
        <v>320</v>
      </c>
      <c r="T81" s="376">
        <f>O81+30</f>
        <v>44818</v>
      </c>
      <c r="U81" s="276">
        <f>T81+(4*4.3*7)</f>
        <v>44938.400000000001</v>
      </c>
      <c r="V81" s="88">
        <v>4</v>
      </c>
      <c r="W81" s="50">
        <f t="shared" si="37"/>
        <v>4.0000000000000488</v>
      </c>
      <c r="X81" s="50"/>
      <c r="Y81" s="50"/>
      <c r="Z81" s="50"/>
      <c r="AA81" s="53"/>
      <c r="AB81" s="211">
        <v>0</v>
      </c>
      <c r="AC81" s="115">
        <v>0</v>
      </c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3"/>
      <c r="AP81" s="47"/>
      <c r="AQ81" s="53">
        <f t="shared" si="34"/>
        <v>0</v>
      </c>
      <c r="AR81" s="51"/>
      <c r="AS81" s="359">
        <f t="shared" si="35"/>
        <v>0</v>
      </c>
    </row>
    <row r="82" spans="1:47" s="36" customFormat="1" ht="15.75" x14ac:dyDescent="0.25">
      <c r="A82" s="374" t="s">
        <v>775</v>
      </c>
      <c r="B82" s="374" t="s">
        <v>788</v>
      </c>
      <c r="C82" s="394" t="s">
        <v>886</v>
      </c>
      <c r="D82" s="394" t="s">
        <v>401</v>
      </c>
      <c r="E82" s="394" t="s">
        <v>892</v>
      </c>
      <c r="F82" s="407"/>
      <c r="G82" s="52" t="s">
        <v>623</v>
      </c>
      <c r="H82" s="276">
        <v>44610</v>
      </c>
      <c r="I82" s="406" t="s">
        <v>830</v>
      </c>
      <c r="J82" s="406"/>
      <c r="K82" s="87">
        <v>44616</v>
      </c>
      <c r="L82" s="87">
        <v>44601</v>
      </c>
      <c r="M82" s="87">
        <v>44743</v>
      </c>
      <c r="N82" s="87">
        <v>44646</v>
      </c>
      <c r="O82" s="87">
        <f>M82+45</f>
        <v>44788</v>
      </c>
      <c r="P82" s="88">
        <f t="shared" si="26"/>
        <v>172</v>
      </c>
      <c r="Q82" s="50">
        <f t="shared" si="32"/>
        <v>45</v>
      </c>
      <c r="R82" s="50">
        <f t="shared" si="31"/>
        <v>45</v>
      </c>
      <c r="S82" s="52" t="s">
        <v>320</v>
      </c>
      <c r="T82" s="376">
        <f>O82+30</f>
        <v>44818</v>
      </c>
      <c r="U82" s="52">
        <f>T82+(4*4.3*7)</f>
        <v>44938.400000000001</v>
      </c>
      <c r="V82" s="88">
        <v>4</v>
      </c>
      <c r="W82" s="50">
        <f t="shared" si="37"/>
        <v>4.0000000000000488</v>
      </c>
      <c r="X82" s="50"/>
      <c r="Y82" s="50"/>
      <c r="Z82" s="50"/>
      <c r="AA82" s="53"/>
      <c r="AB82" s="211">
        <v>0</v>
      </c>
      <c r="AC82" s="115">
        <v>0</v>
      </c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3"/>
      <c r="AP82" s="47"/>
      <c r="AQ82" s="53">
        <f t="shared" si="34"/>
        <v>0</v>
      </c>
      <c r="AR82" s="51"/>
      <c r="AS82" s="359">
        <f t="shared" si="35"/>
        <v>0</v>
      </c>
    </row>
    <row r="83" spans="1:47" s="489" customFormat="1" ht="15.75" x14ac:dyDescent="0.25">
      <c r="A83" s="179" t="s">
        <v>871</v>
      </c>
      <c r="B83" s="180" t="s">
        <v>872</v>
      </c>
      <c r="C83" s="406" t="s">
        <v>875</v>
      </c>
      <c r="D83" s="406" t="s">
        <v>24</v>
      </c>
      <c r="E83" s="487" t="s">
        <v>24</v>
      </c>
      <c r="F83" s="180"/>
      <c r="G83" s="87" t="s">
        <v>623</v>
      </c>
      <c r="H83" s="87" t="s">
        <v>320</v>
      </c>
      <c r="I83" s="52"/>
      <c r="J83" s="52"/>
      <c r="K83" s="329"/>
      <c r="L83" s="87"/>
      <c r="M83" s="329"/>
      <c r="N83" s="298"/>
      <c r="O83" s="329"/>
      <c r="P83" s="88">
        <f t="shared" si="26"/>
        <v>0</v>
      </c>
      <c r="Q83" s="301"/>
      <c r="R83" s="346"/>
      <c r="S83" s="87"/>
      <c r="T83" s="329"/>
      <c r="U83" s="87"/>
      <c r="V83" s="88"/>
      <c r="W83" s="88"/>
      <c r="X83" s="88"/>
      <c r="Y83" s="88"/>
      <c r="Z83" s="88"/>
      <c r="AA83" s="181"/>
      <c r="AB83" s="211">
        <v>0</v>
      </c>
      <c r="AC83" s="115">
        <v>0</v>
      </c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48"/>
      <c r="AQ83" s="58"/>
      <c r="AR83" s="488"/>
      <c r="AS83" s="359"/>
      <c r="AU83" s="218"/>
    </row>
    <row r="84" spans="1:47" s="36" customFormat="1" ht="15.75" x14ac:dyDescent="0.25">
      <c r="A84" s="484" t="s">
        <v>475</v>
      </c>
      <c r="B84" s="180" t="s">
        <v>793</v>
      </c>
      <c r="C84" s="52" t="s">
        <v>874</v>
      </c>
      <c r="D84" s="394" t="s">
        <v>873</v>
      </c>
      <c r="E84" s="469" t="s">
        <v>892</v>
      </c>
      <c r="F84" s="63" t="s">
        <v>864</v>
      </c>
      <c r="G84" s="52" t="s">
        <v>623</v>
      </c>
      <c r="H84" s="52" t="s">
        <v>320</v>
      </c>
      <c r="I84" s="426" t="s">
        <v>831</v>
      </c>
      <c r="J84" s="426"/>
      <c r="K84" s="52" t="s">
        <v>320</v>
      </c>
      <c r="L84" s="52">
        <v>44682</v>
      </c>
      <c r="M84" s="87">
        <v>44752</v>
      </c>
      <c r="N84" s="87">
        <v>44742</v>
      </c>
      <c r="O84" s="87">
        <f>M84+60</f>
        <v>44812</v>
      </c>
      <c r="P84" s="88" t="e">
        <f t="shared" si="26"/>
        <v>#VALUE!</v>
      </c>
      <c r="Q84" s="50">
        <f t="shared" ref="Q84:R87" si="38">N84-L84</f>
        <v>60</v>
      </c>
      <c r="R84" s="50">
        <f t="shared" si="38"/>
        <v>60</v>
      </c>
      <c r="S84" s="52" t="s">
        <v>320</v>
      </c>
      <c r="T84" s="52">
        <f>O84+30</f>
        <v>44842</v>
      </c>
      <c r="U84" s="52">
        <f>T84+(12*4.3*7)</f>
        <v>45203.199999999997</v>
      </c>
      <c r="V84" s="50">
        <v>11.999999999999904</v>
      </c>
      <c r="W84" s="50">
        <f>((U84-T84)/7)/4.3</f>
        <v>11.999999999999904</v>
      </c>
      <c r="X84" s="50"/>
      <c r="Y84" s="50"/>
      <c r="Z84" s="50"/>
      <c r="AA84" s="58">
        <v>14000000</v>
      </c>
      <c r="AB84" s="211">
        <v>0</v>
      </c>
      <c r="AC84" s="115">
        <v>0</v>
      </c>
      <c r="AD84" s="58"/>
      <c r="AE84" s="58"/>
      <c r="AF84" s="58"/>
      <c r="AG84" s="58"/>
      <c r="AH84" s="58"/>
      <c r="AI84" s="58"/>
      <c r="AJ84" s="58"/>
      <c r="AK84" s="275">
        <v>1250000</v>
      </c>
      <c r="AL84" s="275">
        <v>1250000</v>
      </c>
      <c r="AM84" s="275">
        <v>1250000</v>
      </c>
      <c r="AN84" s="275">
        <v>1250000</v>
      </c>
      <c r="AO84" s="275">
        <f>3200000+5800000</f>
        <v>9000000</v>
      </c>
      <c r="AP84" s="47"/>
      <c r="AQ84" s="53">
        <f t="shared" ref="AQ84:AQ97" si="39">SUM(AB84:AP84)</f>
        <v>14000000</v>
      </c>
      <c r="AR84" s="51"/>
      <c r="AS84" s="359">
        <f t="shared" ref="AS84:AS95" si="40">AQ84-AA84</f>
        <v>0</v>
      </c>
      <c r="AU84" s="55"/>
    </row>
    <row r="85" spans="1:47" s="36" customFormat="1" ht="15.75" x14ac:dyDescent="0.25">
      <c r="A85" s="185" t="s">
        <v>800</v>
      </c>
      <c r="B85" s="113" t="s">
        <v>797</v>
      </c>
      <c r="C85" s="394" t="s">
        <v>45</v>
      </c>
      <c r="D85" s="394" t="s">
        <v>45</v>
      </c>
      <c r="E85" s="422" t="s">
        <v>890</v>
      </c>
      <c r="F85" s="56"/>
      <c r="G85" s="52" t="s">
        <v>623</v>
      </c>
      <c r="H85" s="52" t="s">
        <v>320</v>
      </c>
      <c r="I85" s="435" t="s">
        <v>817</v>
      </c>
      <c r="J85" s="435"/>
      <c r="K85" s="329">
        <v>44566</v>
      </c>
      <c r="L85" s="52"/>
      <c r="M85" s="87"/>
      <c r="N85" s="87"/>
      <c r="O85" s="87"/>
      <c r="P85" s="88">
        <f t="shared" si="26"/>
        <v>-44566</v>
      </c>
      <c r="Q85" s="50">
        <f t="shared" si="38"/>
        <v>0</v>
      </c>
      <c r="R85" s="50">
        <f t="shared" si="38"/>
        <v>0</v>
      </c>
      <c r="S85" s="52" t="s">
        <v>320</v>
      </c>
      <c r="T85" s="52"/>
      <c r="U85" s="52"/>
      <c r="V85" s="50"/>
      <c r="W85" s="378"/>
      <c r="X85" s="50"/>
      <c r="Y85" s="50"/>
      <c r="Z85" s="50"/>
      <c r="AA85" s="53"/>
      <c r="AB85" s="211">
        <v>0</v>
      </c>
      <c r="AC85" s="115">
        <v>0</v>
      </c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3"/>
      <c r="AP85" s="47"/>
      <c r="AQ85" s="53">
        <f t="shared" si="39"/>
        <v>0</v>
      </c>
      <c r="AR85" s="51"/>
      <c r="AS85" s="359">
        <f t="shared" si="40"/>
        <v>0</v>
      </c>
    </row>
    <row r="86" spans="1:47" s="36" customFormat="1" ht="15.75" x14ac:dyDescent="0.25">
      <c r="A86" s="185" t="s">
        <v>800</v>
      </c>
      <c r="B86" s="113" t="s">
        <v>798</v>
      </c>
      <c r="C86" s="52" t="s">
        <v>45</v>
      </c>
      <c r="D86" s="52" t="s">
        <v>45</v>
      </c>
      <c r="E86" s="422" t="s">
        <v>890</v>
      </c>
      <c r="F86" s="56" t="s">
        <v>864</v>
      </c>
      <c r="G86" s="52" t="s">
        <v>623</v>
      </c>
      <c r="H86" s="52" t="s">
        <v>320</v>
      </c>
      <c r="I86" s="434" t="s">
        <v>813</v>
      </c>
      <c r="J86" s="434"/>
      <c r="K86" s="329">
        <v>44551</v>
      </c>
      <c r="L86" s="52"/>
      <c r="M86" s="87"/>
      <c r="N86" s="87"/>
      <c r="O86" s="87"/>
      <c r="P86" s="88">
        <f t="shared" si="26"/>
        <v>-44551</v>
      </c>
      <c r="Q86" s="50">
        <f t="shared" si="38"/>
        <v>0</v>
      </c>
      <c r="R86" s="50">
        <f t="shared" si="38"/>
        <v>0</v>
      </c>
      <c r="S86" s="52" t="s">
        <v>320</v>
      </c>
      <c r="T86" s="52"/>
      <c r="U86" s="52"/>
      <c r="V86" s="50"/>
      <c r="W86" s="378"/>
      <c r="X86" s="50"/>
      <c r="Y86" s="50"/>
      <c r="Z86" s="50"/>
      <c r="AA86" s="53"/>
      <c r="AB86" s="211">
        <v>0</v>
      </c>
      <c r="AC86" s="115">
        <v>0</v>
      </c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3"/>
      <c r="AP86" s="47"/>
      <c r="AQ86" s="53">
        <f t="shared" si="39"/>
        <v>0</v>
      </c>
      <c r="AR86" s="51"/>
      <c r="AS86" s="359">
        <f t="shared" si="40"/>
        <v>0</v>
      </c>
    </row>
    <row r="87" spans="1:47" s="36" customFormat="1" ht="15.75" x14ac:dyDescent="0.25">
      <c r="A87" s="113" t="s">
        <v>143</v>
      </c>
      <c r="B87" s="114" t="s">
        <v>145</v>
      </c>
      <c r="C87" s="52" t="s">
        <v>708</v>
      </c>
      <c r="D87" s="52" t="s">
        <v>704</v>
      </c>
      <c r="E87" s="422" t="s">
        <v>892</v>
      </c>
      <c r="F87" s="272" t="s">
        <v>146</v>
      </c>
      <c r="G87" s="52" t="s">
        <v>623</v>
      </c>
      <c r="H87" s="52" t="s">
        <v>320</v>
      </c>
      <c r="I87" s="434" t="s">
        <v>835</v>
      </c>
      <c r="J87" s="434"/>
      <c r="K87" s="52" t="s">
        <v>24</v>
      </c>
      <c r="L87" s="52">
        <v>44470</v>
      </c>
      <c r="M87" s="87">
        <v>44470</v>
      </c>
      <c r="N87" s="87">
        <v>44575</v>
      </c>
      <c r="O87" s="87">
        <v>44575</v>
      </c>
      <c r="P87" s="88" t="e">
        <f t="shared" si="26"/>
        <v>#VALUE!</v>
      </c>
      <c r="Q87" s="50">
        <f t="shared" si="38"/>
        <v>105</v>
      </c>
      <c r="R87" s="50">
        <f t="shared" si="38"/>
        <v>105</v>
      </c>
      <c r="S87" s="52" t="s">
        <v>320</v>
      </c>
      <c r="T87" s="87">
        <v>44666</v>
      </c>
      <c r="U87" s="52">
        <f>T87+(9*4.3*7)</f>
        <v>44936.9</v>
      </c>
      <c r="V87" s="88">
        <v>9.0000000000000497</v>
      </c>
      <c r="W87" s="50">
        <f t="shared" ref="W87:W95" si="41">((U87-T87)/7)/4.3</f>
        <v>9.0000000000000497</v>
      </c>
      <c r="X87" s="50"/>
      <c r="Y87" s="88"/>
      <c r="Z87" s="88"/>
      <c r="AA87" s="58">
        <v>600000</v>
      </c>
      <c r="AB87" s="211">
        <v>0</v>
      </c>
      <c r="AC87" s="115">
        <v>0</v>
      </c>
      <c r="AD87" s="58"/>
      <c r="AE87" s="58"/>
      <c r="AF87" s="275">
        <v>80000</v>
      </c>
      <c r="AG87" s="275">
        <v>80000</v>
      </c>
      <c r="AH87" s="275">
        <v>80000</v>
      </c>
      <c r="AI87" s="275">
        <v>80000</v>
      </c>
      <c r="AJ87" s="275">
        <v>80000</v>
      </c>
      <c r="AK87" s="275">
        <v>80000</v>
      </c>
      <c r="AL87" s="275">
        <f>45000+75000</f>
        <v>120000</v>
      </c>
      <c r="AM87" s="58"/>
      <c r="AN87" s="58"/>
      <c r="AO87" s="53"/>
      <c r="AP87" s="47"/>
      <c r="AQ87" s="53">
        <f t="shared" si="39"/>
        <v>600000</v>
      </c>
      <c r="AR87" s="51"/>
      <c r="AS87" s="359">
        <f t="shared" si="40"/>
        <v>0</v>
      </c>
    </row>
    <row r="88" spans="1:47" s="36" customFormat="1" ht="15.75" x14ac:dyDescent="0.25">
      <c r="A88" s="113" t="s">
        <v>394</v>
      </c>
      <c r="B88" s="114" t="s">
        <v>763</v>
      </c>
      <c r="C88" s="52" t="s">
        <v>708</v>
      </c>
      <c r="D88" s="52" t="s">
        <v>704</v>
      </c>
      <c r="E88" s="422" t="s">
        <v>892</v>
      </c>
      <c r="F88" s="57" t="s">
        <v>149</v>
      </c>
      <c r="G88" s="52" t="s">
        <v>623</v>
      </c>
      <c r="H88" s="52" t="s">
        <v>320</v>
      </c>
      <c r="I88" s="87" t="s">
        <v>836</v>
      </c>
      <c r="J88" s="87"/>
      <c r="K88" s="330" t="s">
        <v>370</v>
      </c>
      <c r="L88" s="52">
        <v>44491</v>
      </c>
      <c r="M88" s="87">
        <v>44752</v>
      </c>
      <c r="N88" s="87">
        <v>44703</v>
      </c>
      <c r="O88" s="87">
        <f>M88+60</f>
        <v>44812</v>
      </c>
      <c r="P88" s="88" t="e">
        <f t="shared" si="26"/>
        <v>#VALUE!</v>
      </c>
      <c r="Q88" s="50">
        <f>N88-M88</f>
        <v>-49</v>
      </c>
      <c r="R88" s="50">
        <f t="shared" ref="R88:R99" si="42">O88-M88</f>
        <v>60</v>
      </c>
      <c r="S88" s="52" t="s">
        <v>320</v>
      </c>
      <c r="T88" s="52">
        <v>44666</v>
      </c>
      <c r="U88" s="52">
        <f>T88+(9*4.3*7)</f>
        <v>44936.9</v>
      </c>
      <c r="V88" s="50">
        <v>9.0000000000000497</v>
      </c>
      <c r="W88" s="50">
        <f t="shared" si="41"/>
        <v>9.0000000000000497</v>
      </c>
      <c r="X88" s="50"/>
      <c r="Y88" s="50"/>
      <c r="Z88" s="50"/>
      <c r="AA88" s="53">
        <v>750000</v>
      </c>
      <c r="AB88" s="211">
        <v>0</v>
      </c>
      <c r="AC88" s="115">
        <v>0</v>
      </c>
      <c r="AD88" s="58"/>
      <c r="AE88" s="58"/>
      <c r="AF88" s="275">
        <v>90000</v>
      </c>
      <c r="AG88" s="275">
        <v>90000</v>
      </c>
      <c r="AH88" s="275">
        <v>90000</v>
      </c>
      <c r="AI88" s="275">
        <v>90000</v>
      </c>
      <c r="AJ88" s="275">
        <v>90000</v>
      </c>
      <c r="AK88" s="275">
        <v>90000</v>
      </c>
      <c r="AL88" s="275">
        <v>65000</v>
      </c>
      <c r="AM88" s="275">
        <f>50000+95000</f>
        <v>145000</v>
      </c>
      <c r="AN88" s="58"/>
      <c r="AO88" s="53"/>
      <c r="AP88" s="47"/>
      <c r="AQ88" s="53">
        <f t="shared" si="39"/>
        <v>750000</v>
      </c>
      <c r="AR88" s="51"/>
      <c r="AS88" s="359">
        <f t="shared" si="40"/>
        <v>0</v>
      </c>
      <c r="AU88" s="55"/>
    </row>
    <row r="89" spans="1:47" s="36" customFormat="1" ht="15.75" x14ac:dyDescent="0.25">
      <c r="A89" s="113" t="s">
        <v>735</v>
      </c>
      <c r="B89" s="114" t="s">
        <v>736</v>
      </c>
      <c r="C89" s="52" t="s">
        <v>708</v>
      </c>
      <c r="D89" s="52" t="s">
        <v>704</v>
      </c>
      <c r="E89" s="422" t="s">
        <v>892</v>
      </c>
      <c r="F89" s="57" t="s">
        <v>149</v>
      </c>
      <c r="G89" s="52" t="s">
        <v>623</v>
      </c>
      <c r="H89" s="52" t="s">
        <v>320</v>
      </c>
      <c r="I89" s="432" t="s">
        <v>835</v>
      </c>
      <c r="J89" s="432"/>
      <c r="K89" s="330" t="s">
        <v>370</v>
      </c>
      <c r="L89" s="52">
        <v>44596</v>
      </c>
      <c r="M89" s="87">
        <v>44752</v>
      </c>
      <c r="N89" s="87">
        <v>44703</v>
      </c>
      <c r="O89" s="87">
        <f>M89+60</f>
        <v>44812</v>
      </c>
      <c r="P89" s="88" t="e">
        <f t="shared" si="26"/>
        <v>#VALUE!</v>
      </c>
      <c r="Q89" s="50">
        <f>N89-M89</f>
        <v>-49</v>
      </c>
      <c r="R89" s="50">
        <f t="shared" si="42"/>
        <v>60</v>
      </c>
      <c r="S89" s="52" t="s">
        <v>320</v>
      </c>
      <c r="T89" s="52">
        <v>44666</v>
      </c>
      <c r="U89" s="52">
        <f>T89+(6*4.3*7)</f>
        <v>44846.6</v>
      </c>
      <c r="V89" s="50">
        <v>5.999999999999952</v>
      </c>
      <c r="W89" s="50">
        <f t="shared" si="41"/>
        <v>5.999999999999952</v>
      </c>
      <c r="X89" s="50"/>
      <c r="Y89" s="50"/>
      <c r="Z89" s="50"/>
      <c r="AA89" s="53">
        <v>600000</v>
      </c>
      <c r="AB89" s="211">
        <v>0</v>
      </c>
      <c r="AC89" s="115">
        <v>0</v>
      </c>
      <c r="AD89" s="58"/>
      <c r="AE89" s="58"/>
      <c r="AF89" s="58"/>
      <c r="AG89" s="58"/>
      <c r="AH89" s="275">
        <v>25000</v>
      </c>
      <c r="AI89" s="275">
        <v>50000</v>
      </c>
      <c r="AJ89" s="275">
        <v>80000</v>
      </c>
      <c r="AK89" s="275">
        <v>80000</v>
      </c>
      <c r="AL89" s="275">
        <v>80000</v>
      </c>
      <c r="AM89" s="275">
        <v>80000</v>
      </c>
      <c r="AN89" s="275">
        <v>80000</v>
      </c>
      <c r="AO89" s="275">
        <v>125000</v>
      </c>
      <c r="AP89" s="47"/>
      <c r="AQ89" s="53">
        <f t="shared" si="39"/>
        <v>600000</v>
      </c>
      <c r="AR89" s="51"/>
      <c r="AS89" s="359">
        <f t="shared" si="40"/>
        <v>0</v>
      </c>
      <c r="AU89" s="55"/>
    </row>
    <row r="90" spans="1:47" s="36" customFormat="1" ht="15.75" x14ac:dyDescent="0.25">
      <c r="A90" s="113" t="s">
        <v>737</v>
      </c>
      <c r="B90" s="114" t="s">
        <v>740</v>
      </c>
      <c r="C90" s="52" t="s">
        <v>708</v>
      </c>
      <c r="D90" s="52" t="s">
        <v>704</v>
      </c>
      <c r="E90" s="422" t="s">
        <v>892</v>
      </c>
      <c r="F90" s="57" t="s">
        <v>149</v>
      </c>
      <c r="G90" s="52" t="s">
        <v>623</v>
      </c>
      <c r="H90" s="52" t="s">
        <v>320</v>
      </c>
      <c r="I90" s="432" t="s">
        <v>835</v>
      </c>
      <c r="J90" s="432"/>
      <c r="K90" s="52" t="s">
        <v>320</v>
      </c>
      <c r="L90" s="52">
        <v>44596</v>
      </c>
      <c r="M90" s="87">
        <v>44752</v>
      </c>
      <c r="N90" s="87">
        <v>44686</v>
      </c>
      <c r="O90" s="87">
        <f>M90+45</f>
        <v>44797</v>
      </c>
      <c r="P90" s="88" t="e">
        <f t="shared" si="26"/>
        <v>#VALUE!</v>
      </c>
      <c r="Q90" s="50">
        <f t="shared" ref="Q90:Q97" si="43">N90-L90</f>
        <v>90</v>
      </c>
      <c r="R90" s="50">
        <f t="shared" si="42"/>
        <v>45</v>
      </c>
      <c r="S90" s="52" t="s">
        <v>320</v>
      </c>
      <c r="T90" s="52">
        <f>O90+30</f>
        <v>44827</v>
      </c>
      <c r="U90" s="52">
        <f>T90+(3*4.3*7)</f>
        <v>44917.3</v>
      </c>
      <c r="V90" s="50">
        <v>9.0000000000000497</v>
      </c>
      <c r="W90" s="50">
        <f t="shared" si="41"/>
        <v>3.0000000000000968</v>
      </c>
      <c r="X90" s="50"/>
      <c r="Y90" s="50"/>
      <c r="Z90" s="50"/>
      <c r="AA90" s="53"/>
      <c r="AB90" s="211">
        <v>0</v>
      </c>
      <c r="AC90" s="115">
        <v>0</v>
      </c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3"/>
      <c r="AP90" s="47"/>
      <c r="AQ90" s="53">
        <f t="shared" si="39"/>
        <v>0</v>
      </c>
      <c r="AR90" s="51"/>
      <c r="AS90" s="359">
        <f t="shared" si="40"/>
        <v>0</v>
      </c>
      <c r="AU90" s="55"/>
    </row>
    <row r="91" spans="1:47" s="36" customFormat="1" ht="15.75" x14ac:dyDescent="0.25">
      <c r="A91" s="113" t="s">
        <v>738</v>
      </c>
      <c r="B91" s="114" t="s">
        <v>740</v>
      </c>
      <c r="C91" s="52" t="s">
        <v>708</v>
      </c>
      <c r="D91" s="52" t="s">
        <v>704</v>
      </c>
      <c r="E91" s="422" t="s">
        <v>892</v>
      </c>
      <c r="F91" s="57" t="s">
        <v>149</v>
      </c>
      <c r="G91" s="52" t="s">
        <v>623</v>
      </c>
      <c r="H91" s="52" t="s">
        <v>320</v>
      </c>
      <c r="I91" s="432" t="s">
        <v>835</v>
      </c>
      <c r="J91" s="432"/>
      <c r="K91" s="52" t="s">
        <v>320</v>
      </c>
      <c r="L91" s="52">
        <v>44596</v>
      </c>
      <c r="M91" s="87">
        <v>44752</v>
      </c>
      <c r="N91" s="87">
        <v>44686</v>
      </c>
      <c r="O91" s="87">
        <f>M91+45</f>
        <v>44797</v>
      </c>
      <c r="P91" s="88" t="e">
        <f t="shared" si="26"/>
        <v>#VALUE!</v>
      </c>
      <c r="Q91" s="50">
        <f t="shared" si="43"/>
        <v>90</v>
      </c>
      <c r="R91" s="50">
        <f t="shared" si="42"/>
        <v>45</v>
      </c>
      <c r="S91" s="52" t="s">
        <v>320</v>
      </c>
      <c r="T91" s="52">
        <f>O91+30</f>
        <v>44827</v>
      </c>
      <c r="U91" s="52">
        <f>T91+(3*4.3*7)</f>
        <v>44917.3</v>
      </c>
      <c r="V91" s="50">
        <v>9.0000000000000497</v>
      </c>
      <c r="W91" s="50">
        <f t="shared" si="41"/>
        <v>3.0000000000000968</v>
      </c>
      <c r="X91" s="50"/>
      <c r="Y91" s="50"/>
      <c r="Z91" s="50"/>
      <c r="AA91" s="53"/>
      <c r="AB91" s="211">
        <v>0</v>
      </c>
      <c r="AC91" s="115">
        <v>0</v>
      </c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3"/>
      <c r="AP91" s="47"/>
      <c r="AQ91" s="53">
        <f t="shared" si="39"/>
        <v>0</v>
      </c>
      <c r="AR91" s="51"/>
      <c r="AS91" s="359">
        <f t="shared" si="40"/>
        <v>0</v>
      </c>
    </row>
    <row r="92" spans="1:47" s="36" customFormat="1" ht="15.75" x14ac:dyDescent="0.25">
      <c r="A92" s="374" t="s">
        <v>156</v>
      </c>
      <c r="B92" s="375" t="s">
        <v>157</v>
      </c>
      <c r="C92" s="52" t="s">
        <v>708</v>
      </c>
      <c r="D92" s="52" t="s">
        <v>704</v>
      </c>
      <c r="E92" s="422" t="s">
        <v>892</v>
      </c>
      <c r="F92" s="57" t="s">
        <v>158</v>
      </c>
      <c r="G92" s="52" t="s">
        <v>623</v>
      </c>
      <c r="H92" s="276">
        <v>44610</v>
      </c>
      <c r="I92" s="87" t="s">
        <v>837</v>
      </c>
      <c r="J92" s="87"/>
      <c r="K92" s="329" t="s">
        <v>370</v>
      </c>
      <c r="L92" s="52">
        <v>44497</v>
      </c>
      <c r="M92" s="329">
        <v>44362</v>
      </c>
      <c r="N92" s="298">
        <v>44547</v>
      </c>
      <c r="O92" s="87">
        <v>44635</v>
      </c>
      <c r="P92" s="88" t="e">
        <f t="shared" si="26"/>
        <v>#VALUE!</v>
      </c>
      <c r="Q92" s="50">
        <f t="shared" si="43"/>
        <v>50</v>
      </c>
      <c r="R92" s="50">
        <f t="shared" si="42"/>
        <v>273</v>
      </c>
      <c r="S92" s="52" t="s">
        <v>320</v>
      </c>
      <c r="T92" s="376">
        <f>O92+14</f>
        <v>44649</v>
      </c>
      <c r="U92" s="52">
        <f>T92+(9*4.3*7)</f>
        <v>44919.9</v>
      </c>
      <c r="V92" s="50">
        <v>9.0000000000000497</v>
      </c>
      <c r="W92" s="50">
        <f t="shared" si="41"/>
        <v>9.0000000000000497</v>
      </c>
      <c r="X92" s="50"/>
      <c r="Y92" s="50"/>
      <c r="Z92" s="50"/>
      <c r="AA92" s="53">
        <v>2000000</v>
      </c>
      <c r="AB92" s="211">
        <v>0</v>
      </c>
      <c r="AC92" s="115">
        <v>0</v>
      </c>
      <c r="AD92" s="275"/>
      <c r="AE92" s="275">
        <v>250000</v>
      </c>
      <c r="AF92" s="275">
        <v>25000</v>
      </c>
      <c r="AG92" s="275">
        <v>250000</v>
      </c>
      <c r="AH92" s="275">
        <v>300000</v>
      </c>
      <c r="AI92" s="275">
        <v>300000</v>
      </c>
      <c r="AJ92" s="275">
        <v>150000</v>
      </c>
      <c r="AK92" s="58"/>
      <c r="AL92" s="58"/>
      <c r="AM92" s="58"/>
      <c r="AN92" s="58">
        <v>725000</v>
      </c>
      <c r="AO92" s="53"/>
      <c r="AP92" s="47"/>
      <c r="AQ92" s="53">
        <f t="shared" si="39"/>
        <v>2000000</v>
      </c>
      <c r="AR92" s="51"/>
      <c r="AS92" s="359">
        <f t="shared" si="40"/>
        <v>0</v>
      </c>
    </row>
    <row r="93" spans="1:47" s="36" customFormat="1" ht="15.75" x14ac:dyDescent="0.25">
      <c r="A93" s="374" t="s">
        <v>159</v>
      </c>
      <c r="B93" s="375" t="s">
        <v>428</v>
      </c>
      <c r="C93" s="52" t="s">
        <v>708</v>
      </c>
      <c r="D93" s="52" t="s">
        <v>704</v>
      </c>
      <c r="E93" s="422" t="s">
        <v>892</v>
      </c>
      <c r="F93" s="57" t="s">
        <v>158</v>
      </c>
      <c r="G93" s="52" t="s">
        <v>623</v>
      </c>
      <c r="H93" s="276">
        <v>44610</v>
      </c>
      <c r="I93" s="432" t="s">
        <v>837</v>
      </c>
      <c r="J93" s="432"/>
      <c r="K93" s="330" t="s">
        <v>370</v>
      </c>
      <c r="L93" s="52">
        <v>44526</v>
      </c>
      <c r="M93" s="87">
        <v>44752</v>
      </c>
      <c r="N93" s="87">
        <v>44616</v>
      </c>
      <c r="O93" s="87">
        <f>M93+60</f>
        <v>44812</v>
      </c>
      <c r="P93" s="88" t="e">
        <f t="shared" si="26"/>
        <v>#VALUE!</v>
      </c>
      <c r="Q93" s="50">
        <f t="shared" si="43"/>
        <v>90</v>
      </c>
      <c r="R93" s="50">
        <f t="shared" si="42"/>
        <v>60</v>
      </c>
      <c r="S93" s="52" t="s">
        <v>320</v>
      </c>
      <c r="T93" s="376">
        <f>O93+104</f>
        <v>44916</v>
      </c>
      <c r="U93" s="52">
        <f>T93+(4*4.3*7)</f>
        <v>45036.4</v>
      </c>
      <c r="V93" s="50">
        <v>4.0000000000000488</v>
      </c>
      <c r="W93" s="50">
        <f t="shared" si="41"/>
        <v>4.0000000000000488</v>
      </c>
      <c r="X93" s="50"/>
      <c r="Y93" s="50"/>
      <c r="Z93" s="50"/>
      <c r="AA93" s="53">
        <v>550000</v>
      </c>
      <c r="AB93" s="211">
        <v>0</v>
      </c>
      <c r="AC93" s="115">
        <v>0</v>
      </c>
      <c r="AD93" s="58"/>
      <c r="AE93" s="275">
        <v>50000</v>
      </c>
      <c r="AF93" s="275">
        <v>100000</v>
      </c>
      <c r="AG93" s="275">
        <v>150000</v>
      </c>
      <c r="AH93" s="275">
        <v>150000</v>
      </c>
      <c r="AI93" s="275">
        <v>100000</v>
      </c>
      <c r="AJ93" s="58"/>
      <c r="AK93" s="58"/>
      <c r="AL93" s="58"/>
      <c r="AM93" s="58"/>
      <c r="AN93" s="58"/>
      <c r="AO93" s="53"/>
      <c r="AP93" s="47"/>
      <c r="AQ93" s="53">
        <f t="shared" si="39"/>
        <v>550000</v>
      </c>
      <c r="AR93" s="51"/>
      <c r="AS93" s="359">
        <f t="shared" si="40"/>
        <v>0</v>
      </c>
      <c r="AU93" s="55"/>
    </row>
    <row r="94" spans="1:47" s="36" customFormat="1" ht="15.75" x14ac:dyDescent="0.25">
      <c r="A94" s="113" t="s">
        <v>228</v>
      </c>
      <c r="B94" s="114" t="s">
        <v>579</v>
      </c>
      <c r="C94" s="52" t="s">
        <v>45</v>
      </c>
      <c r="D94" s="52" t="s">
        <v>45</v>
      </c>
      <c r="E94" s="52" t="s">
        <v>893</v>
      </c>
      <c r="F94" s="56" t="s">
        <v>230</v>
      </c>
      <c r="G94" s="52" t="s">
        <v>623</v>
      </c>
      <c r="H94" s="52" t="s">
        <v>320</v>
      </c>
      <c r="I94" s="87" t="s">
        <v>838</v>
      </c>
      <c r="J94" s="87"/>
      <c r="K94" s="330" t="s">
        <v>370</v>
      </c>
      <c r="L94" s="52">
        <v>44610</v>
      </c>
      <c r="M94" s="329">
        <v>44610</v>
      </c>
      <c r="N94" s="87">
        <v>44620</v>
      </c>
      <c r="O94" s="87">
        <f>M94+90</f>
        <v>44700</v>
      </c>
      <c r="P94" s="88" t="e">
        <f t="shared" si="26"/>
        <v>#VALUE!</v>
      </c>
      <c r="Q94" s="50">
        <f t="shared" si="43"/>
        <v>10</v>
      </c>
      <c r="R94" s="50">
        <f t="shared" si="42"/>
        <v>90</v>
      </c>
      <c r="S94" s="52" t="s">
        <v>320</v>
      </c>
      <c r="T94" s="376">
        <f>O94+30</f>
        <v>44730</v>
      </c>
      <c r="U94" s="52">
        <f>T94+(9*4.3*7)</f>
        <v>45000.9</v>
      </c>
      <c r="V94" s="50">
        <v>9.0000000000000497</v>
      </c>
      <c r="W94" s="50">
        <f t="shared" si="41"/>
        <v>9.0000000000000497</v>
      </c>
      <c r="X94" s="50"/>
      <c r="Y94" s="52"/>
      <c r="Z94" s="52"/>
      <c r="AA94" s="53">
        <v>2229000</v>
      </c>
      <c r="AB94" s="211">
        <v>0</v>
      </c>
      <c r="AC94" s="115">
        <v>0</v>
      </c>
      <c r="AD94" s="58"/>
      <c r="AE94" s="275">
        <v>125000</v>
      </c>
      <c r="AF94" s="275">
        <v>175000</v>
      </c>
      <c r="AG94" s="275">
        <v>225000</v>
      </c>
      <c r="AH94" s="275">
        <v>250000</v>
      </c>
      <c r="AI94" s="275">
        <v>250000</v>
      </c>
      <c r="AJ94" s="275">
        <v>250000</v>
      </c>
      <c r="AK94" s="275">
        <v>250000</v>
      </c>
      <c r="AL94" s="275">
        <v>250000</v>
      </c>
      <c r="AM94" s="275">
        <v>250000</v>
      </c>
      <c r="AN94" s="275">
        <v>204000</v>
      </c>
      <c r="AO94" s="53"/>
      <c r="AP94" s="47"/>
      <c r="AQ94" s="53">
        <f t="shared" si="39"/>
        <v>2229000</v>
      </c>
      <c r="AR94" s="51"/>
      <c r="AS94" s="359">
        <f t="shared" si="40"/>
        <v>0</v>
      </c>
    </row>
    <row r="95" spans="1:47" s="36" customFormat="1" ht="15.75" x14ac:dyDescent="0.25">
      <c r="A95" s="113" t="s">
        <v>578</v>
      </c>
      <c r="B95" s="114" t="s">
        <v>443</v>
      </c>
      <c r="C95" s="52" t="s">
        <v>45</v>
      </c>
      <c r="D95" s="52" t="s">
        <v>45</v>
      </c>
      <c r="E95" s="52" t="s">
        <v>893</v>
      </c>
      <c r="F95" s="56" t="s">
        <v>230</v>
      </c>
      <c r="G95" s="52" t="s">
        <v>623</v>
      </c>
      <c r="H95" s="52" t="s">
        <v>320</v>
      </c>
      <c r="I95" s="87" t="s">
        <v>838</v>
      </c>
      <c r="J95" s="87"/>
      <c r="K95" s="330" t="s">
        <v>370</v>
      </c>
      <c r="L95" s="52">
        <v>44530</v>
      </c>
      <c r="M95" s="87">
        <f>O94</f>
        <v>44700</v>
      </c>
      <c r="N95" s="87">
        <v>44620</v>
      </c>
      <c r="O95" s="87">
        <f>M95+45</f>
        <v>44745</v>
      </c>
      <c r="P95" s="88" t="e">
        <f t="shared" si="26"/>
        <v>#VALUE!</v>
      </c>
      <c r="Q95" s="50">
        <f t="shared" si="43"/>
        <v>90</v>
      </c>
      <c r="R95" s="50">
        <f t="shared" si="42"/>
        <v>45</v>
      </c>
      <c r="S95" s="52" t="s">
        <v>320</v>
      </c>
      <c r="T95" s="87">
        <f>O95+90</f>
        <v>44835</v>
      </c>
      <c r="U95" s="52">
        <f>T95+(4*4.3*7)</f>
        <v>44955.4</v>
      </c>
      <c r="V95" s="50">
        <v>4.0000000000000488</v>
      </c>
      <c r="W95" s="50">
        <f t="shared" si="41"/>
        <v>4.0000000000000488</v>
      </c>
      <c r="X95" s="50"/>
      <c r="Y95" s="50"/>
      <c r="Z95" s="50"/>
      <c r="AA95" s="53">
        <v>360000</v>
      </c>
      <c r="AB95" s="211">
        <v>0</v>
      </c>
      <c r="AC95" s="115">
        <v>0</v>
      </c>
      <c r="AD95" s="58"/>
      <c r="AE95" s="58"/>
      <c r="AF95" s="58"/>
      <c r="AG95" s="275">
        <v>50000</v>
      </c>
      <c r="AH95" s="275">
        <v>75000</v>
      </c>
      <c r="AI95" s="275">
        <v>125000</v>
      </c>
      <c r="AJ95" s="275">
        <v>110000</v>
      </c>
      <c r="AK95" s="58"/>
      <c r="AL95" s="58"/>
      <c r="AM95" s="58"/>
      <c r="AN95" s="58"/>
      <c r="AO95" s="53"/>
      <c r="AP95" s="47"/>
      <c r="AQ95" s="53">
        <f t="shared" si="39"/>
        <v>360000</v>
      </c>
      <c r="AR95" s="51"/>
      <c r="AS95" s="359">
        <f t="shared" si="40"/>
        <v>0</v>
      </c>
      <c r="AU95" s="55"/>
    </row>
    <row r="96" spans="1:47" s="36" customFormat="1" ht="15.75" x14ac:dyDescent="0.25">
      <c r="A96" s="185"/>
      <c r="B96" s="114" t="s">
        <v>840</v>
      </c>
      <c r="C96" s="52" t="s">
        <v>45</v>
      </c>
      <c r="D96" s="52" t="s">
        <v>45</v>
      </c>
      <c r="E96" s="422" t="s">
        <v>890</v>
      </c>
      <c r="F96" s="57" t="s">
        <v>839</v>
      </c>
      <c r="G96" s="52" t="s">
        <v>623</v>
      </c>
      <c r="H96" s="52" t="s">
        <v>320</v>
      </c>
      <c r="I96" s="432" t="s">
        <v>843</v>
      </c>
      <c r="J96" s="432"/>
      <c r="K96" s="466">
        <v>44722</v>
      </c>
      <c r="L96" s="52"/>
      <c r="M96" s="87" t="s">
        <v>946</v>
      </c>
      <c r="N96" s="87"/>
      <c r="O96" s="87"/>
      <c r="P96" s="88">
        <f t="shared" si="26"/>
        <v>-44722</v>
      </c>
      <c r="Q96" s="50">
        <f t="shared" si="43"/>
        <v>0</v>
      </c>
      <c r="R96" s="50" t="e">
        <f t="shared" si="42"/>
        <v>#VALUE!</v>
      </c>
      <c r="S96" s="52" t="s">
        <v>320</v>
      </c>
      <c r="T96" s="87"/>
      <c r="U96" s="52"/>
      <c r="V96" s="50"/>
      <c r="W96" s="50"/>
      <c r="X96" s="50"/>
      <c r="Y96" s="50"/>
      <c r="Z96" s="50"/>
      <c r="AA96" s="53"/>
      <c r="AB96" s="211">
        <v>0</v>
      </c>
      <c r="AC96" s="115">
        <v>0</v>
      </c>
      <c r="AD96" s="58"/>
      <c r="AE96" s="58"/>
      <c r="AF96" s="58"/>
      <c r="AG96" s="89"/>
      <c r="AH96" s="89"/>
      <c r="AI96" s="89"/>
      <c r="AJ96" s="89"/>
      <c r="AK96" s="58"/>
      <c r="AL96" s="58"/>
      <c r="AM96" s="58"/>
      <c r="AN96" s="58"/>
      <c r="AO96" s="53"/>
      <c r="AP96" s="47"/>
      <c r="AQ96" s="53">
        <f t="shared" si="39"/>
        <v>0</v>
      </c>
      <c r="AR96" s="51"/>
      <c r="AS96" s="359"/>
      <c r="AU96" s="55"/>
    </row>
    <row r="97" spans="1:47" s="36" customFormat="1" ht="15.75" x14ac:dyDescent="0.25">
      <c r="A97" s="185"/>
      <c r="B97" s="114" t="s">
        <v>841</v>
      </c>
      <c r="C97" s="52" t="s">
        <v>45</v>
      </c>
      <c r="D97" s="52" t="s">
        <v>45</v>
      </c>
      <c r="E97" s="422" t="s">
        <v>890</v>
      </c>
      <c r="F97" s="57" t="s">
        <v>844</v>
      </c>
      <c r="G97" s="52" t="s">
        <v>623</v>
      </c>
      <c r="H97" s="52" t="s">
        <v>320</v>
      </c>
      <c r="I97" s="432" t="s">
        <v>842</v>
      </c>
      <c r="J97" s="432"/>
      <c r="K97" s="466">
        <v>44655</v>
      </c>
      <c r="L97" s="52"/>
      <c r="M97" s="87">
        <v>44690</v>
      </c>
      <c r="N97" s="87"/>
      <c r="O97" s="87">
        <f>M97+10</f>
        <v>44700</v>
      </c>
      <c r="P97" s="88">
        <f t="shared" si="26"/>
        <v>45</v>
      </c>
      <c r="Q97" s="50">
        <f t="shared" si="43"/>
        <v>0</v>
      </c>
      <c r="R97" s="50">
        <f t="shared" si="42"/>
        <v>10</v>
      </c>
      <c r="S97" s="52" t="s">
        <v>320</v>
      </c>
      <c r="T97" s="87"/>
      <c r="U97" s="52"/>
      <c r="V97" s="50"/>
      <c r="W97" s="50"/>
      <c r="X97" s="50"/>
      <c r="Y97" s="50"/>
      <c r="Z97" s="50"/>
      <c r="AA97" s="53"/>
      <c r="AB97" s="211">
        <v>0</v>
      </c>
      <c r="AC97" s="115">
        <v>0</v>
      </c>
      <c r="AD97" s="58"/>
      <c r="AE97" s="58"/>
      <c r="AF97" s="58"/>
      <c r="AG97" s="89"/>
      <c r="AH97" s="89"/>
      <c r="AI97" s="89"/>
      <c r="AJ97" s="89"/>
      <c r="AK97" s="58"/>
      <c r="AL97" s="58"/>
      <c r="AM97" s="58"/>
      <c r="AN97" s="58"/>
      <c r="AO97" s="53"/>
      <c r="AP97" s="47"/>
      <c r="AQ97" s="53">
        <f t="shared" si="39"/>
        <v>0</v>
      </c>
      <c r="AR97" s="51"/>
      <c r="AS97" s="359"/>
      <c r="AU97" s="55"/>
    </row>
    <row r="98" spans="1:47" s="36" customFormat="1" ht="15.75" x14ac:dyDescent="0.25">
      <c r="A98" s="113" t="s">
        <v>865</v>
      </c>
      <c r="B98" s="180" t="s">
        <v>866</v>
      </c>
      <c r="C98" s="52" t="s">
        <v>45</v>
      </c>
      <c r="D98" s="52" t="s">
        <v>45</v>
      </c>
      <c r="E98" s="422" t="s">
        <v>891</v>
      </c>
      <c r="F98" s="57"/>
      <c r="G98" s="52" t="s">
        <v>623</v>
      </c>
      <c r="H98" s="52" t="s">
        <v>320</v>
      </c>
      <c r="I98" s="432" t="s">
        <v>867</v>
      </c>
      <c r="J98" s="432"/>
      <c r="K98" s="330"/>
      <c r="L98" s="52"/>
      <c r="M98" s="87"/>
      <c r="N98" s="87"/>
      <c r="O98" s="87"/>
      <c r="P98" s="88">
        <f t="shared" si="26"/>
        <v>0</v>
      </c>
      <c r="Q98" s="87"/>
      <c r="R98" s="50">
        <f t="shared" si="42"/>
        <v>0</v>
      </c>
      <c r="S98" s="52"/>
      <c r="T98" s="87"/>
      <c r="U98" s="52"/>
      <c r="V98" s="50"/>
      <c r="W98" s="50"/>
      <c r="X98" s="50"/>
      <c r="Y98" s="50"/>
      <c r="Z98" s="50"/>
      <c r="AA98" s="53"/>
      <c r="AB98" s="211">
        <v>96582.13</v>
      </c>
      <c r="AC98" s="115">
        <v>0</v>
      </c>
      <c r="AD98" s="58"/>
      <c r="AE98" s="58"/>
      <c r="AF98" s="58"/>
      <c r="AG98" s="89"/>
      <c r="AH98" s="89"/>
      <c r="AI98" s="89"/>
      <c r="AJ98" s="89"/>
      <c r="AK98" s="58"/>
      <c r="AL98" s="58"/>
      <c r="AM98" s="58"/>
      <c r="AN98" s="58"/>
      <c r="AO98" s="53"/>
      <c r="AP98" s="47"/>
      <c r="AQ98" s="53"/>
      <c r="AR98" s="51"/>
      <c r="AS98" s="359"/>
      <c r="AU98" s="55"/>
    </row>
    <row r="99" spans="1:47" s="36" customFormat="1" ht="15.75" x14ac:dyDescent="0.25">
      <c r="A99" s="185"/>
      <c r="B99" s="114" t="s">
        <v>882</v>
      </c>
      <c r="C99" s="52" t="s">
        <v>45</v>
      </c>
      <c r="D99" s="52" t="s">
        <v>45</v>
      </c>
      <c r="E99" s="422" t="s">
        <v>890</v>
      </c>
      <c r="F99" s="57"/>
      <c r="G99" s="52" t="s">
        <v>623</v>
      </c>
      <c r="H99" s="52"/>
      <c r="I99" s="432"/>
      <c r="J99" s="432"/>
      <c r="K99" s="330"/>
      <c r="L99" s="52"/>
      <c r="M99" s="87">
        <v>44792</v>
      </c>
      <c r="N99" s="87"/>
      <c r="O99" s="87">
        <f>M99+39</f>
        <v>44831</v>
      </c>
      <c r="P99" s="88">
        <f t="shared" si="26"/>
        <v>44831</v>
      </c>
      <c r="Q99" s="87"/>
      <c r="R99" s="50">
        <f t="shared" si="42"/>
        <v>39</v>
      </c>
      <c r="S99" s="52"/>
      <c r="T99" s="276">
        <v>44788</v>
      </c>
      <c r="U99" s="52"/>
      <c r="V99" s="50"/>
      <c r="W99" s="50"/>
      <c r="X99" s="50"/>
      <c r="Y99" s="50"/>
      <c r="Z99" s="50"/>
      <c r="AA99" s="53">
        <v>5000000</v>
      </c>
      <c r="AB99" s="115">
        <v>0</v>
      </c>
      <c r="AC99" s="115">
        <v>0</v>
      </c>
      <c r="AD99" s="58"/>
      <c r="AE99" s="58"/>
      <c r="AF99" s="58"/>
      <c r="AG99" s="89"/>
      <c r="AH99" s="89"/>
      <c r="AI99" s="89"/>
      <c r="AJ99" s="89"/>
      <c r="AK99" s="58"/>
      <c r="AL99" s="58"/>
      <c r="AM99" s="58"/>
      <c r="AN99" s="58"/>
      <c r="AO99" s="53"/>
      <c r="AP99" s="47"/>
      <c r="AQ99" s="53"/>
      <c r="AR99" s="51"/>
      <c r="AS99" s="359"/>
      <c r="AU99" s="55"/>
    </row>
    <row r="100" spans="1:47" s="36" customFormat="1" ht="15.75" x14ac:dyDescent="0.25">
      <c r="A100" s="185"/>
      <c r="B100" s="114" t="s">
        <v>883</v>
      </c>
      <c r="C100" s="52" t="s">
        <v>45</v>
      </c>
      <c r="D100" s="52" t="s">
        <v>45</v>
      </c>
      <c r="E100" s="422" t="s">
        <v>891</v>
      </c>
      <c r="F100" s="57"/>
      <c r="G100" s="52" t="s">
        <v>623</v>
      </c>
      <c r="H100" s="52"/>
      <c r="I100" s="432"/>
      <c r="J100" s="432"/>
      <c r="K100" s="330"/>
      <c r="L100" s="52"/>
      <c r="M100" s="87" t="s">
        <v>945</v>
      </c>
      <c r="N100" s="87"/>
      <c r="O100" s="87"/>
      <c r="P100" s="88">
        <f t="shared" si="26"/>
        <v>0</v>
      </c>
      <c r="Q100" s="87"/>
      <c r="R100" s="50"/>
      <c r="S100" s="52"/>
      <c r="T100" s="276">
        <v>44819</v>
      </c>
      <c r="U100" s="52"/>
      <c r="V100" s="50"/>
      <c r="W100" s="50"/>
      <c r="X100" s="50"/>
      <c r="Y100" s="50"/>
      <c r="Z100" s="50"/>
      <c r="AA100" s="53">
        <v>8000000</v>
      </c>
      <c r="AB100" s="115">
        <v>0</v>
      </c>
      <c r="AC100" s="115">
        <v>0</v>
      </c>
      <c r="AD100" s="58"/>
      <c r="AE100" s="58"/>
      <c r="AF100" s="58"/>
      <c r="AG100" s="89"/>
      <c r="AH100" s="89"/>
      <c r="AI100" s="89"/>
      <c r="AJ100" s="89"/>
      <c r="AK100" s="58"/>
      <c r="AL100" s="58"/>
      <c r="AM100" s="58"/>
      <c r="AN100" s="58"/>
      <c r="AO100" s="53"/>
      <c r="AP100" s="47"/>
      <c r="AQ100" s="53"/>
      <c r="AR100" s="51"/>
      <c r="AS100" s="359"/>
      <c r="AU100" s="55"/>
    </row>
    <row r="101" spans="1:47" s="36" customFormat="1" ht="15.75" x14ac:dyDescent="0.25">
      <c r="A101" s="185"/>
      <c r="B101" s="114" t="s">
        <v>894</v>
      </c>
      <c r="C101" s="52" t="s">
        <v>45</v>
      </c>
      <c r="D101" s="52" t="s">
        <v>45</v>
      </c>
      <c r="E101" s="422" t="s">
        <v>893</v>
      </c>
      <c r="F101" s="57"/>
      <c r="G101" s="52" t="s">
        <v>623</v>
      </c>
      <c r="H101" s="52"/>
      <c r="I101" s="432"/>
      <c r="J101" s="432"/>
      <c r="K101" s="330"/>
      <c r="L101" s="52"/>
      <c r="M101" s="87" t="s">
        <v>945</v>
      </c>
      <c r="N101" s="87"/>
      <c r="O101" s="87"/>
      <c r="P101" s="88">
        <f t="shared" si="26"/>
        <v>0</v>
      </c>
      <c r="Q101" s="87"/>
      <c r="R101" s="50"/>
      <c r="S101" s="52"/>
      <c r="T101" s="87"/>
      <c r="U101" s="52"/>
      <c r="V101" s="50"/>
      <c r="W101" s="50"/>
      <c r="X101" s="50"/>
      <c r="Y101" s="50"/>
      <c r="Z101" s="50"/>
      <c r="AA101" s="53"/>
      <c r="AB101" s="115">
        <v>0</v>
      </c>
      <c r="AC101" s="115">
        <v>0</v>
      </c>
      <c r="AD101" s="58"/>
      <c r="AE101" s="58"/>
      <c r="AF101" s="58"/>
      <c r="AG101" s="89"/>
      <c r="AH101" s="89"/>
      <c r="AI101" s="89"/>
      <c r="AJ101" s="89"/>
      <c r="AK101" s="58"/>
      <c r="AL101" s="58"/>
      <c r="AM101" s="58"/>
      <c r="AN101" s="58"/>
      <c r="AO101" s="53"/>
      <c r="AP101" s="47"/>
      <c r="AQ101" s="53"/>
      <c r="AR101" s="51"/>
      <c r="AS101" s="359"/>
      <c r="AU101" s="55"/>
    </row>
    <row r="102" spans="1:47" s="36" customFormat="1" ht="15.75" x14ac:dyDescent="0.25">
      <c r="A102" s="185"/>
      <c r="B102" s="114" t="s">
        <v>895</v>
      </c>
      <c r="C102" s="52" t="s">
        <v>45</v>
      </c>
      <c r="D102" s="52" t="s">
        <v>45</v>
      </c>
      <c r="E102" s="422" t="s">
        <v>893</v>
      </c>
      <c r="F102" s="57"/>
      <c r="G102" s="52" t="s">
        <v>623</v>
      </c>
      <c r="H102" s="52"/>
      <c r="I102" s="432"/>
      <c r="J102" s="432"/>
      <c r="K102" s="330"/>
      <c r="L102" s="52"/>
      <c r="M102" s="87" t="s">
        <v>945</v>
      </c>
      <c r="N102" s="87"/>
      <c r="O102" s="87"/>
      <c r="P102" s="88">
        <f t="shared" si="26"/>
        <v>0</v>
      </c>
      <c r="Q102" s="87"/>
      <c r="R102" s="50"/>
      <c r="S102" s="52"/>
      <c r="T102" s="87"/>
      <c r="U102" s="52"/>
      <c r="V102" s="50"/>
      <c r="W102" s="50"/>
      <c r="X102" s="50"/>
      <c r="Y102" s="50"/>
      <c r="Z102" s="50"/>
      <c r="AA102" s="53"/>
      <c r="AB102" s="115">
        <v>0</v>
      </c>
      <c r="AC102" s="115">
        <v>0</v>
      </c>
      <c r="AD102" s="58"/>
      <c r="AE102" s="58"/>
      <c r="AF102" s="58"/>
      <c r="AG102" s="89"/>
      <c r="AH102" s="89"/>
      <c r="AI102" s="89"/>
      <c r="AJ102" s="89"/>
      <c r="AK102" s="58"/>
      <c r="AL102" s="58"/>
      <c r="AM102" s="58"/>
      <c r="AN102" s="58"/>
      <c r="AO102" s="53"/>
      <c r="AP102" s="47"/>
      <c r="AQ102" s="53"/>
      <c r="AR102" s="51"/>
      <c r="AS102" s="359"/>
      <c r="AU102" s="55"/>
    </row>
    <row r="103" spans="1:47" s="36" customFormat="1" ht="15.75" x14ac:dyDescent="0.25">
      <c r="A103" s="113"/>
      <c r="B103" s="114" t="s">
        <v>947</v>
      </c>
      <c r="C103" s="52"/>
      <c r="D103" s="52"/>
      <c r="E103" s="422"/>
      <c r="F103" s="57"/>
      <c r="G103" s="52"/>
      <c r="H103" s="52"/>
      <c r="I103" s="432"/>
      <c r="J103" s="432"/>
      <c r="K103" s="330"/>
      <c r="L103" s="52"/>
      <c r="M103" s="87"/>
      <c r="N103" s="87"/>
      <c r="O103" s="87"/>
      <c r="P103" s="88"/>
      <c r="Q103" s="87"/>
      <c r="R103" s="50"/>
      <c r="S103" s="52"/>
      <c r="T103" s="87"/>
      <c r="U103" s="52"/>
      <c r="V103" s="50"/>
      <c r="W103" s="50"/>
      <c r="X103" s="50"/>
      <c r="Y103" s="50"/>
      <c r="Z103" s="50"/>
      <c r="AA103" s="53"/>
      <c r="AB103" s="115">
        <v>0</v>
      </c>
      <c r="AC103" s="115">
        <v>0</v>
      </c>
      <c r="AD103" s="58"/>
      <c r="AE103" s="58"/>
      <c r="AF103" s="58"/>
      <c r="AG103" s="89"/>
      <c r="AH103" s="89"/>
      <c r="AI103" s="89"/>
      <c r="AJ103" s="89"/>
      <c r="AK103" s="58"/>
      <c r="AL103" s="58"/>
      <c r="AM103" s="58"/>
      <c r="AN103" s="58"/>
      <c r="AO103" s="53"/>
      <c r="AP103" s="47"/>
      <c r="AQ103" s="53"/>
      <c r="AR103" s="51"/>
      <c r="AS103" s="359"/>
      <c r="AU103" s="55"/>
    </row>
    <row r="104" spans="1:47" s="36" customFormat="1" ht="15.75" x14ac:dyDescent="0.25">
      <c r="A104" s="113"/>
      <c r="B104" s="114"/>
      <c r="C104" s="52"/>
      <c r="D104" s="52"/>
      <c r="E104" s="422"/>
      <c r="F104" s="57"/>
      <c r="G104" s="52"/>
      <c r="H104" s="52"/>
      <c r="I104" s="432"/>
      <c r="J104" s="432"/>
      <c r="K104" s="330"/>
      <c r="L104" s="52"/>
      <c r="M104" s="87"/>
      <c r="N104" s="87"/>
      <c r="O104" s="87"/>
      <c r="P104" s="88"/>
      <c r="Q104" s="87"/>
      <c r="R104" s="50"/>
      <c r="S104" s="52"/>
      <c r="T104" s="87"/>
      <c r="U104" s="52"/>
      <c r="V104" s="50"/>
      <c r="W104" s="50"/>
      <c r="X104" s="50"/>
      <c r="Y104" s="50"/>
      <c r="Z104" s="50"/>
      <c r="AA104" s="53"/>
      <c r="AB104" s="115"/>
      <c r="AC104" s="115"/>
      <c r="AD104" s="58"/>
      <c r="AE104" s="58"/>
      <c r="AF104" s="58"/>
      <c r="AG104" s="89"/>
      <c r="AH104" s="89"/>
      <c r="AI104" s="89"/>
      <c r="AJ104" s="89"/>
      <c r="AK104" s="58"/>
      <c r="AL104" s="58"/>
      <c r="AM104" s="58"/>
      <c r="AN104" s="58"/>
      <c r="AO104" s="53"/>
      <c r="AP104" s="47"/>
      <c r="AQ104" s="53"/>
      <c r="AR104" s="51"/>
      <c r="AS104" s="359"/>
      <c r="AU104" s="55"/>
    </row>
    <row r="105" spans="1:47" s="36" customFormat="1" ht="15.75" x14ac:dyDescent="0.25">
      <c r="A105" s="113"/>
      <c r="B105" s="114"/>
      <c r="C105" s="52"/>
      <c r="D105" s="52"/>
      <c r="E105" s="422"/>
      <c r="F105" s="57"/>
      <c r="G105" s="52"/>
      <c r="H105" s="52"/>
      <c r="I105" s="432"/>
      <c r="J105" s="432"/>
      <c r="K105" s="330"/>
      <c r="L105" s="52"/>
      <c r="M105" s="87"/>
      <c r="N105" s="87"/>
      <c r="O105" s="87"/>
      <c r="P105" s="88"/>
      <c r="Q105" s="87"/>
      <c r="R105" s="50"/>
      <c r="S105" s="52"/>
      <c r="T105" s="87"/>
      <c r="U105" s="52"/>
      <c r="V105" s="50"/>
      <c r="W105" s="50"/>
      <c r="X105" s="50"/>
      <c r="Y105" s="50"/>
      <c r="Z105" s="50"/>
      <c r="AA105" s="53"/>
      <c r="AB105" s="115"/>
      <c r="AC105" s="115"/>
      <c r="AD105" s="58"/>
      <c r="AE105" s="58"/>
      <c r="AF105" s="58"/>
      <c r="AG105" s="89"/>
      <c r="AH105" s="89"/>
      <c r="AI105" s="89"/>
      <c r="AJ105" s="89"/>
      <c r="AK105" s="58"/>
      <c r="AL105" s="58"/>
      <c r="AM105" s="58"/>
      <c r="AN105" s="58"/>
      <c r="AO105" s="53"/>
      <c r="AP105" s="47"/>
      <c r="AQ105" s="53"/>
      <c r="AR105" s="51"/>
      <c r="AS105" s="359"/>
      <c r="AU105" s="55"/>
    </row>
    <row r="106" spans="1:47" s="36" customFormat="1" ht="15.75" x14ac:dyDescent="0.25">
      <c r="A106" s="113"/>
      <c r="B106" s="114"/>
      <c r="C106" s="52"/>
      <c r="D106" s="52"/>
      <c r="E106" s="422"/>
      <c r="F106" s="57"/>
      <c r="G106" s="52"/>
      <c r="H106" s="52"/>
      <c r="I106" s="432"/>
      <c r="J106" s="432"/>
      <c r="K106" s="330"/>
      <c r="L106" s="52"/>
      <c r="M106" s="87"/>
      <c r="N106" s="87"/>
      <c r="O106" s="87"/>
      <c r="P106" s="88"/>
      <c r="Q106" s="87"/>
      <c r="R106" s="50"/>
      <c r="S106" s="52"/>
      <c r="T106" s="87"/>
      <c r="U106" s="52"/>
      <c r="V106" s="50"/>
      <c r="W106" s="50"/>
      <c r="X106" s="50"/>
      <c r="Y106" s="50"/>
      <c r="Z106" s="50"/>
      <c r="AA106" s="53"/>
      <c r="AB106" s="115"/>
      <c r="AC106" s="115"/>
      <c r="AD106" s="58"/>
      <c r="AE106" s="58"/>
      <c r="AF106" s="58"/>
      <c r="AG106" s="89"/>
      <c r="AH106" s="89"/>
      <c r="AI106" s="89"/>
      <c r="AJ106" s="89"/>
      <c r="AK106" s="58"/>
      <c r="AL106" s="58"/>
      <c r="AM106" s="58"/>
      <c r="AN106" s="58"/>
      <c r="AO106" s="53"/>
      <c r="AP106" s="47"/>
      <c r="AQ106" s="53"/>
      <c r="AR106" s="51"/>
      <c r="AS106" s="359"/>
      <c r="AU106" s="55"/>
    </row>
    <row r="107" spans="1:47" s="36" customFormat="1" ht="15.75" x14ac:dyDescent="0.25">
      <c r="A107" s="113"/>
      <c r="B107" s="114"/>
      <c r="C107" s="52"/>
      <c r="D107" s="52"/>
      <c r="E107" s="422"/>
      <c r="F107" s="57"/>
      <c r="G107" s="52"/>
      <c r="H107" s="52"/>
      <c r="I107" s="432"/>
      <c r="J107" s="432"/>
      <c r="K107" s="330"/>
      <c r="L107" s="52"/>
      <c r="M107" s="87"/>
      <c r="N107" s="87"/>
      <c r="O107" s="87"/>
      <c r="P107" s="88"/>
      <c r="Q107" s="87"/>
      <c r="R107" s="50"/>
      <c r="S107" s="52"/>
      <c r="T107" s="87"/>
      <c r="U107" s="52"/>
      <c r="V107" s="50"/>
      <c r="W107" s="50"/>
      <c r="X107" s="50"/>
      <c r="Y107" s="50"/>
      <c r="Z107" s="50"/>
      <c r="AA107" s="53"/>
      <c r="AB107" s="115"/>
      <c r="AC107" s="115"/>
      <c r="AD107" s="58"/>
      <c r="AE107" s="58"/>
      <c r="AF107" s="58"/>
      <c r="AG107" s="89"/>
      <c r="AH107" s="89"/>
      <c r="AI107" s="89"/>
      <c r="AJ107" s="89"/>
      <c r="AK107" s="58"/>
      <c r="AL107" s="58"/>
      <c r="AM107" s="58"/>
      <c r="AN107" s="58"/>
      <c r="AO107" s="53"/>
      <c r="AP107" s="47"/>
      <c r="AQ107" s="53"/>
      <c r="AR107" s="51"/>
      <c r="AS107" s="359"/>
      <c r="AU107" s="55"/>
    </row>
    <row r="108" spans="1:47" s="36" customFormat="1" ht="15.75" x14ac:dyDescent="0.25">
      <c r="A108" s="113"/>
      <c r="B108" s="114"/>
      <c r="C108" s="52"/>
      <c r="D108" s="52"/>
      <c r="E108" s="422"/>
      <c r="F108" s="57"/>
      <c r="G108" s="52"/>
      <c r="H108" s="52"/>
      <c r="I108" s="432"/>
      <c r="J108" s="432"/>
      <c r="K108" s="87"/>
      <c r="L108" s="87"/>
      <c r="M108" s="87"/>
      <c r="N108" s="87"/>
      <c r="O108" s="87"/>
      <c r="P108" s="88"/>
      <c r="Q108" s="87"/>
      <c r="R108" s="50"/>
      <c r="S108" s="52"/>
      <c r="T108" s="52"/>
      <c r="U108" s="52"/>
      <c r="V108" s="50"/>
      <c r="W108" s="378"/>
      <c r="X108" s="50"/>
      <c r="Y108" s="50"/>
      <c r="Z108" s="50"/>
      <c r="AA108" s="53"/>
      <c r="AB108" s="115">
        <v>0</v>
      </c>
      <c r="AC108" s="115">
        <v>0</v>
      </c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3"/>
      <c r="AP108" s="47"/>
      <c r="AQ108" s="53">
        <f>SUM(AB108:AP108)</f>
        <v>0</v>
      </c>
      <c r="AR108" s="51"/>
      <c r="AS108" s="359">
        <f>AQ108-AA108</f>
        <v>0</v>
      </c>
    </row>
    <row r="109" spans="1:47" s="36" customFormat="1" ht="15.75" x14ac:dyDescent="0.25">
      <c r="A109" s="99"/>
      <c r="B109" s="100"/>
      <c r="C109" s="91"/>
      <c r="D109" s="445"/>
      <c r="E109" s="446"/>
      <c r="F109" s="100"/>
      <c r="G109" s="91"/>
      <c r="H109" s="91"/>
      <c r="I109" s="429"/>
      <c r="J109" s="429"/>
      <c r="K109" s="91"/>
      <c r="L109" s="91"/>
      <c r="M109" s="91"/>
      <c r="N109" s="91"/>
      <c r="O109" s="91"/>
      <c r="P109" s="92"/>
      <c r="Q109" s="91"/>
      <c r="R109" s="92"/>
      <c r="S109" s="91"/>
      <c r="T109" s="91"/>
      <c r="U109" s="91"/>
      <c r="V109" s="92"/>
      <c r="W109" s="92"/>
      <c r="X109" s="92"/>
      <c r="Y109" s="92"/>
      <c r="Z109" s="92"/>
      <c r="AA109" s="59">
        <f t="shared" ref="AA109:AO109" si="44">SUBTOTAL(9,AA52:AA108)</f>
        <v>60522072</v>
      </c>
      <c r="AB109" s="59">
        <f t="shared" si="44"/>
        <v>96582.13</v>
      </c>
      <c r="AC109" s="59">
        <f t="shared" si="44"/>
        <v>0</v>
      </c>
      <c r="AD109" s="59">
        <f t="shared" si="44"/>
        <v>50000</v>
      </c>
      <c r="AE109" s="59">
        <f t="shared" si="44"/>
        <v>1785000</v>
      </c>
      <c r="AF109" s="59">
        <f t="shared" si="44"/>
        <v>2405000</v>
      </c>
      <c r="AG109" s="59">
        <f t="shared" si="44"/>
        <v>3270000</v>
      </c>
      <c r="AH109" s="59">
        <f t="shared" si="44"/>
        <v>3565000</v>
      </c>
      <c r="AI109" s="59">
        <f t="shared" si="44"/>
        <v>3635000</v>
      </c>
      <c r="AJ109" s="59">
        <f t="shared" si="44"/>
        <v>3375000</v>
      </c>
      <c r="AK109" s="59">
        <f t="shared" si="44"/>
        <v>3828000</v>
      </c>
      <c r="AL109" s="59">
        <f t="shared" si="44"/>
        <v>3165000</v>
      </c>
      <c r="AM109" s="59">
        <f t="shared" si="44"/>
        <v>3100000</v>
      </c>
      <c r="AN109" s="59">
        <f t="shared" si="44"/>
        <v>6064072</v>
      </c>
      <c r="AO109" s="59">
        <f t="shared" si="44"/>
        <v>13180000</v>
      </c>
      <c r="AP109" s="47"/>
      <c r="AQ109" s="59">
        <f>SUBTOTAL(9,AQ17:AQ108)</f>
        <v>94567134.629999995</v>
      </c>
      <c r="AR109" s="51"/>
      <c r="AS109" s="359">
        <f>AQ109-AA109</f>
        <v>34045062.629999995</v>
      </c>
      <c r="AT109" s="55"/>
    </row>
    <row r="110" spans="1:47" s="36" customFormat="1" ht="16.5" thickBot="1" x14ac:dyDescent="0.3">
      <c r="A110" s="34"/>
      <c r="B110" s="35"/>
      <c r="C110" s="141"/>
      <c r="D110" s="474"/>
      <c r="E110" s="464"/>
      <c r="F110" s="35"/>
      <c r="G110" s="52"/>
      <c r="H110" s="52"/>
      <c r="I110" s="422"/>
      <c r="J110" s="422"/>
      <c r="K110" s="52"/>
      <c r="L110" s="52"/>
      <c r="M110" s="52"/>
      <c r="N110" s="52"/>
      <c r="O110" s="52"/>
      <c r="P110" s="50"/>
      <c r="Q110" s="52"/>
      <c r="R110" s="50"/>
      <c r="S110" s="52"/>
      <c r="T110" s="52"/>
      <c r="U110" s="141"/>
      <c r="V110" s="142"/>
      <c r="W110" s="142"/>
      <c r="X110" s="142"/>
      <c r="Y110" s="142"/>
      <c r="Z110" s="142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4"/>
      <c r="AQ110" s="143"/>
      <c r="AR110" s="145"/>
      <c r="AS110" s="359">
        <f>AQ110-AA110</f>
        <v>0</v>
      </c>
    </row>
    <row r="111" spans="1:47" s="36" customFormat="1" ht="16.5" thickBot="1" x14ac:dyDescent="0.3">
      <c r="C111" s="479"/>
      <c r="D111" s="480"/>
      <c r="E111" s="473"/>
      <c r="G111" s="37"/>
      <c r="H111" s="37"/>
      <c r="I111" s="37"/>
      <c r="J111" s="37"/>
      <c r="K111" s="37"/>
      <c r="L111" s="37"/>
      <c r="M111" s="293"/>
      <c r="N111" s="293"/>
      <c r="O111" s="293"/>
      <c r="P111" s="38"/>
      <c r="Q111" s="293"/>
      <c r="R111" s="38"/>
      <c r="S111" s="37"/>
      <c r="T111" s="37"/>
      <c r="U111" s="338"/>
      <c r="V111" s="441"/>
      <c r="W111" s="148" t="s">
        <v>445</v>
      </c>
      <c r="X111" s="148"/>
      <c r="Y111" s="148"/>
      <c r="Z111" s="148"/>
      <c r="AA111" s="149">
        <f t="shared" ref="AA111:AO111" si="45">SUBTOTAL(9,AA4:AA109)</f>
        <v>116687957.16</v>
      </c>
      <c r="AB111" s="149">
        <f t="shared" si="45"/>
        <v>32114168.809999995</v>
      </c>
      <c r="AC111" s="149">
        <f>SUBTOTAL(9,AC4:AC109)</f>
        <v>2519382.6599999997</v>
      </c>
      <c r="AD111" s="149">
        <f t="shared" si="45"/>
        <v>3187706.81</v>
      </c>
      <c r="AE111" s="149">
        <f t="shared" si="45"/>
        <v>5109931.01</v>
      </c>
      <c r="AF111" s="149">
        <f t="shared" si="45"/>
        <v>5888032.7300000004</v>
      </c>
      <c r="AG111" s="149">
        <f t="shared" si="45"/>
        <v>5747660.2999999998</v>
      </c>
      <c r="AH111" s="149">
        <f t="shared" si="45"/>
        <v>6092489.3900000006</v>
      </c>
      <c r="AI111" s="149">
        <f t="shared" si="45"/>
        <v>5700000</v>
      </c>
      <c r="AJ111" s="149">
        <f t="shared" si="45"/>
        <v>5335000</v>
      </c>
      <c r="AK111" s="149">
        <f t="shared" si="45"/>
        <v>5653000</v>
      </c>
      <c r="AL111" s="149">
        <f t="shared" si="45"/>
        <v>4221149.1500000004</v>
      </c>
      <c r="AM111" s="149">
        <f t="shared" si="45"/>
        <v>3440000</v>
      </c>
      <c r="AN111" s="149">
        <f t="shared" si="45"/>
        <v>6214072</v>
      </c>
      <c r="AO111" s="149">
        <f t="shared" si="45"/>
        <v>13180000</v>
      </c>
      <c r="AP111" s="150"/>
      <c r="AQ111" s="149">
        <f>SUBTOTAL(9,AQ4:AQ109)</f>
        <v>104306010.72999999</v>
      </c>
      <c r="AR111" s="153"/>
      <c r="AS111" s="359">
        <f>AQ111-AA111</f>
        <v>-12381946.430000007</v>
      </c>
      <c r="AT111" s="55"/>
    </row>
    <row r="112" spans="1:47" s="90" customFormat="1" ht="15.75" x14ac:dyDescent="0.25">
      <c r="C112" s="477"/>
      <c r="D112" s="473"/>
      <c r="E112" s="473"/>
      <c r="G112" s="122"/>
      <c r="H112" s="122"/>
      <c r="I112" s="122"/>
      <c r="J112" s="122"/>
      <c r="K112" s="122"/>
      <c r="L112" s="122"/>
      <c r="M112" s="295"/>
      <c r="N112" s="295"/>
      <c r="O112" s="295"/>
      <c r="P112" s="296"/>
      <c r="Q112" s="295"/>
      <c r="R112" s="296"/>
      <c r="S112" s="122"/>
      <c r="T112" s="122"/>
      <c r="U112" s="123"/>
      <c r="V112" s="442"/>
      <c r="W112" s="124"/>
      <c r="X112" s="124"/>
      <c r="Y112" s="124"/>
      <c r="Z112" s="124"/>
      <c r="AA112" s="124" t="s">
        <v>405</v>
      </c>
      <c r="AB112" s="128"/>
      <c r="AC112" s="128">
        <v>3500000</v>
      </c>
      <c r="AD112" s="128">
        <v>3500000</v>
      </c>
      <c r="AE112" s="128">
        <v>5000000</v>
      </c>
      <c r="AF112" s="128">
        <v>6000000</v>
      </c>
      <c r="AG112" s="128">
        <v>6825000</v>
      </c>
      <c r="AH112" s="128">
        <v>7100000</v>
      </c>
      <c r="AI112" s="128">
        <v>7100000</v>
      </c>
      <c r="AJ112" s="128">
        <v>7000000</v>
      </c>
      <c r="AK112" s="128">
        <v>6500000</v>
      </c>
      <c r="AL112" s="128">
        <v>6500000</v>
      </c>
      <c r="AM112" s="128">
        <v>6500000</v>
      </c>
      <c r="AN112" s="128">
        <v>6500000</v>
      </c>
      <c r="AO112" s="128">
        <v>80000000</v>
      </c>
      <c r="AP112" s="146"/>
      <c r="AQ112" s="125"/>
      <c r="AR112" s="126"/>
      <c r="AS112" s="360"/>
    </row>
    <row r="113" spans="3:45" ht="15.75" x14ac:dyDescent="0.25">
      <c r="C113" s="478"/>
      <c r="D113" s="473"/>
      <c r="E113" s="473"/>
      <c r="U113" s="75"/>
      <c r="V113" s="442"/>
      <c r="AA113" s="38" t="s">
        <v>406</v>
      </c>
      <c r="AB113" s="128"/>
      <c r="AC113" s="128">
        <f t="shared" ref="AC113:AO113" si="46">AC111-AC112</f>
        <v>-980617.34000000032</v>
      </c>
      <c r="AD113" s="128">
        <f t="shared" si="46"/>
        <v>-312293.18999999994</v>
      </c>
      <c r="AE113" s="128">
        <f t="shared" si="46"/>
        <v>109931.00999999978</v>
      </c>
      <c r="AF113" s="128">
        <f t="shared" si="46"/>
        <v>-111967.26999999955</v>
      </c>
      <c r="AG113" s="128">
        <f t="shared" si="46"/>
        <v>-1077339.7000000002</v>
      </c>
      <c r="AH113" s="128">
        <f t="shared" si="46"/>
        <v>-1007510.6099999994</v>
      </c>
      <c r="AI113" s="128">
        <f t="shared" si="46"/>
        <v>-1400000</v>
      </c>
      <c r="AJ113" s="128">
        <f t="shared" si="46"/>
        <v>-1665000</v>
      </c>
      <c r="AK113" s="128">
        <f t="shared" si="46"/>
        <v>-847000</v>
      </c>
      <c r="AL113" s="128">
        <f t="shared" si="46"/>
        <v>-2278850.8499999996</v>
      </c>
      <c r="AM113" s="128">
        <f t="shared" si="46"/>
        <v>-3060000</v>
      </c>
      <c r="AN113" s="128">
        <f t="shared" si="46"/>
        <v>-285928</v>
      </c>
      <c r="AO113" s="128">
        <f t="shared" si="46"/>
        <v>-66820000</v>
      </c>
      <c r="AP113" s="47"/>
      <c r="AQ113" s="76"/>
      <c r="AR113" s="77"/>
      <c r="AS113" s="360"/>
    </row>
    <row r="114" spans="3:45" ht="15.75" x14ac:dyDescent="0.25">
      <c r="C114" s="478"/>
      <c r="D114" s="473"/>
      <c r="E114" s="473"/>
      <c r="AA114" s="3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379">
        <v>2021</v>
      </c>
      <c r="AO114" s="130">
        <v>45000000</v>
      </c>
      <c r="AP114" s="47"/>
      <c r="AS114" s="360"/>
    </row>
    <row r="115" spans="3:45" ht="15.75" x14ac:dyDescent="0.25">
      <c r="C115" s="478"/>
      <c r="D115" s="473"/>
      <c r="E115" s="473"/>
      <c r="AA115" s="38" t="s">
        <v>407</v>
      </c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379">
        <v>2022</v>
      </c>
      <c r="AO115" s="130">
        <v>60000000</v>
      </c>
      <c r="AP115" s="47"/>
      <c r="AS115" s="360"/>
    </row>
    <row r="116" spans="3:45" ht="15.75" x14ac:dyDescent="0.25">
      <c r="C116" s="478"/>
      <c r="D116" s="473"/>
      <c r="E116" s="473"/>
      <c r="AA116" s="38" t="s">
        <v>408</v>
      </c>
      <c r="AB116" s="278"/>
      <c r="AC116" s="278">
        <f>(AC112*0.9)*0.887</f>
        <v>2794050</v>
      </c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379">
        <v>2023</v>
      </c>
      <c r="AO116" s="130">
        <f>60000000*1.2</f>
        <v>72000000</v>
      </c>
      <c r="AP116" s="47"/>
      <c r="AS116" s="360"/>
    </row>
    <row r="117" spans="3:45" ht="15.75" x14ac:dyDescent="0.25">
      <c r="C117" s="478"/>
      <c r="D117" s="473"/>
      <c r="E117" s="473"/>
      <c r="AA117" s="38" t="s">
        <v>406</v>
      </c>
      <c r="AB117" s="278"/>
      <c r="AC117" s="278"/>
      <c r="AD117" s="278"/>
      <c r="AE117" s="485">
        <f>AD111/AE111</f>
        <v>0.6238258019064723</v>
      </c>
      <c r="AF117" s="278"/>
      <c r="AG117" s="278"/>
      <c r="AH117" s="278"/>
      <c r="AI117" s="278"/>
      <c r="AJ117" s="278"/>
      <c r="AK117" s="278"/>
      <c r="AL117" s="278"/>
      <c r="AM117" s="278"/>
      <c r="AN117" s="379">
        <v>2024</v>
      </c>
      <c r="AO117" s="130">
        <f>AO116*1.2</f>
        <v>86400000</v>
      </c>
      <c r="AP117" s="47"/>
      <c r="AS117" s="360"/>
    </row>
    <row r="118" spans="3:45" ht="15.75" x14ac:dyDescent="0.25">
      <c r="C118" s="478"/>
      <c r="D118" s="473"/>
      <c r="E118" s="473"/>
      <c r="AA118" s="3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379">
        <v>2025</v>
      </c>
      <c r="AO118" s="130">
        <f t="shared" ref="AO118:AO126" si="47">AO117*1.15</f>
        <v>99359999.999999985</v>
      </c>
      <c r="AP118" s="47"/>
      <c r="AS118" s="360"/>
    </row>
    <row r="119" spans="3:45" ht="15.75" x14ac:dyDescent="0.25">
      <c r="C119" s="478"/>
      <c r="D119" s="473"/>
      <c r="E119" s="473"/>
      <c r="AA119" s="38" t="s">
        <v>409</v>
      </c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379">
        <v>2026</v>
      </c>
      <c r="AO119" s="130">
        <f t="shared" si="47"/>
        <v>114263999.99999997</v>
      </c>
      <c r="AP119" s="47"/>
      <c r="AS119" s="360"/>
    </row>
    <row r="120" spans="3:45" ht="15.75" x14ac:dyDescent="0.25">
      <c r="C120" s="478"/>
      <c r="D120" s="473"/>
      <c r="E120" s="473"/>
      <c r="AA120" s="38" t="s">
        <v>410</v>
      </c>
      <c r="AB120" s="278"/>
      <c r="AC120" s="278">
        <f>(AC112*0.877)*0.1</f>
        <v>306950</v>
      </c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379">
        <v>2027</v>
      </c>
      <c r="AO120" s="130">
        <f t="shared" si="47"/>
        <v>131403599.99999996</v>
      </c>
      <c r="AP120" s="47"/>
      <c r="AS120" s="360"/>
    </row>
    <row r="121" spans="3:45" ht="15.75" x14ac:dyDescent="0.25">
      <c r="C121" s="478"/>
      <c r="D121" s="473"/>
      <c r="E121" s="473"/>
      <c r="U121" s="75"/>
      <c r="V121" s="442"/>
      <c r="AA121" s="38" t="s">
        <v>406</v>
      </c>
      <c r="AB121" s="128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379">
        <v>2028</v>
      </c>
      <c r="AO121" s="130">
        <f t="shared" si="47"/>
        <v>151114139.99999994</v>
      </c>
      <c r="AP121" s="47"/>
      <c r="AQ121" s="76"/>
      <c r="AR121" s="77"/>
      <c r="AS121" s="360"/>
    </row>
    <row r="122" spans="3:45" ht="15.75" x14ac:dyDescent="0.25">
      <c r="C122" s="478"/>
      <c r="D122" s="473"/>
      <c r="E122" s="473"/>
      <c r="U122" s="75"/>
      <c r="V122" s="442"/>
      <c r="AA122" s="38"/>
      <c r="AB122" s="128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379">
        <v>2029</v>
      </c>
      <c r="AO122" s="130">
        <f t="shared" si="47"/>
        <v>173781260.99999991</v>
      </c>
      <c r="AP122" s="47"/>
      <c r="AQ122" s="76"/>
      <c r="AR122" s="77"/>
      <c r="AS122" s="360"/>
    </row>
    <row r="123" spans="3:45" ht="15.75" x14ac:dyDescent="0.25">
      <c r="C123" s="478"/>
      <c r="D123" s="473"/>
      <c r="E123" s="473"/>
      <c r="U123" s="75"/>
      <c r="V123" s="442"/>
      <c r="AA123" s="38" t="s">
        <v>411</v>
      </c>
      <c r="AB123" s="138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379">
        <v>2030</v>
      </c>
      <c r="AO123" s="130">
        <f t="shared" si="47"/>
        <v>199848450.14999989</v>
      </c>
      <c r="AP123" s="47"/>
      <c r="AQ123" s="76"/>
      <c r="AR123" s="77"/>
      <c r="AS123" s="360"/>
    </row>
    <row r="124" spans="3:45" ht="15.75" x14ac:dyDescent="0.25">
      <c r="C124" s="478"/>
      <c r="D124" s="473"/>
      <c r="E124" s="473"/>
      <c r="U124" s="75"/>
      <c r="V124" s="442"/>
      <c r="AA124" s="38" t="s">
        <v>412</v>
      </c>
      <c r="AB124" s="137"/>
      <c r="AC124" s="137">
        <v>0.1</v>
      </c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379">
        <v>2031</v>
      </c>
      <c r="AO124" s="130">
        <f t="shared" si="47"/>
        <v>229825717.67249987</v>
      </c>
      <c r="AP124" s="47"/>
      <c r="AQ124" s="76"/>
      <c r="AR124" s="77"/>
      <c r="AS124" s="360"/>
    </row>
    <row r="125" spans="3:45" ht="15.75" x14ac:dyDescent="0.25">
      <c r="C125" s="478"/>
      <c r="D125" s="473"/>
      <c r="E125" s="473"/>
      <c r="U125" s="75"/>
      <c r="V125" s="442"/>
      <c r="AA125" s="38" t="s">
        <v>406</v>
      </c>
      <c r="AB125" s="138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379">
        <v>2032</v>
      </c>
      <c r="AO125" s="130">
        <f t="shared" si="47"/>
        <v>264299575.32337484</v>
      </c>
      <c r="AP125" s="47"/>
      <c r="AQ125" s="76"/>
      <c r="AR125" s="77"/>
      <c r="AS125" s="360"/>
    </row>
    <row r="126" spans="3:45" ht="15.75" x14ac:dyDescent="0.25">
      <c r="C126" s="478"/>
      <c r="D126" s="473"/>
      <c r="E126" s="473"/>
      <c r="AA126" s="3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379">
        <v>2033</v>
      </c>
      <c r="AO126" s="130">
        <f t="shared" si="47"/>
        <v>303944511.62188107</v>
      </c>
      <c r="AP126" s="47"/>
      <c r="AS126" s="360"/>
    </row>
    <row r="127" spans="3:45" ht="15.75" x14ac:dyDescent="0.25">
      <c r="C127" s="478"/>
      <c r="D127" s="473"/>
      <c r="E127" s="473"/>
      <c r="AA127" s="38" t="s">
        <v>413</v>
      </c>
      <c r="AB127" s="278"/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130"/>
      <c r="AP127" s="47"/>
      <c r="AS127" s="360"/>
    </row>
    <row r="128" spans="3:45" ht="15.75" x14ac:dyDescent="0.25">
      <c r="C128" s="478"/>
      <c r="D128" s="473"/>
      <c r="E128" s="473"/>
      <c r="AA128" s="38" t="s">
        <v>414</v>
      </c>
      <c r="AB128" s="131"/>
      <c r="AC128" s="131">
        <v>300000</v>
      </c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0"/>
      <c r="AP128" s="47"/>
      <c r="AS128" s="360"/>
    </row>
    <row r="129" spans="1:45" ht="15.75" x14ac:dyDescent="0.25">
      <c r="C129" s="478"/>
      <c r="D129" s="473"/>
      <c r="E129" s="473"/>
      <c r="U129" s="75"/>
      <c r="V129" s="442"/>
      <c r="AA129" s="38" t="s">
        <v>406</v>
      </c>
      <c r="AB129" s="128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47"/>
      <c r="AQ129" s="76"/>
      <c r="AR129" s="77"/>
    </row>
    <row r="130" spans="1:45" ht="15.75" x14ac:dyDescent="0.25">
      <c r="C130" s="478"/>
      <c r="D130" s="473"/>
      <c r="E130" s="473"/>
      <c r="AA130" s="38"/>
      <c r="AB130" s="278"/>
      <c r="AC130" s="278"/>
      <c r="AD130" s="278"/>
      <c r="AE130" s="278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130"/>
      <c r="AP130" s="47"/>
    </row>
    <row r="131" spans="1:45" s="78" customFormat="1" ht="15.75" x14ac:dyDescent="0.25">
      <c r="A131"/>
      <c r="B131"/>
      <c r="C131" s="478"/>
      <c r="D131" s="473"/>
      <c r="E131" s="473"/>
      <c r="F131"/>
      <c r="G131" s="74"/>
      <c r="H131" s="74"/>
      <c r="I131" s="74"/>
      <c r="J131" s="74"/>
      <c r="K131" s="74"/>
      <c r="L131" s="74"/>
      <c r="M131" s="295"/>
      <c r="N131" s="295"/>
      <c r="O131" s="295"/>
      <c r="P131" s="296"/>
      <c r="Q131" s="295"/>
      <c r="R131" s="296"/>
      <c r="S131" s="74"/>
      <c r="T131" s="74"/>
      <c r="U131" s="74"/>
      <c r="V131" s="296"/>
      <c r="W131" s="38"/>
      <c r="X131" s="38"/>
      <c r="Y131" s="38"/>
      <c r="Z131" s="38"/>
      <c r="AA131" s="3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130"/>
      <c r="AP131" s="47"/>
      <c r="AR131" s="79"/>
      <c r="AS131" s="361"/>
    </row>
    <row r="132" spans="1:45" s="78" customFormat="1" ht="15.75" x14ac:dyDescent="0.25">
      <c r="A132"/>
      <c r="B132"/>
      <c r="C132" s="478"/>
      <c r="D132" s="473"/>
      <c r="E132" s="473"/>
      <c r="F132"/>
      <c r="G132" s="74"/>
      <c r="H132" s="74"/>
      <c r="I132" s="74"/>
      <c r="J132" s="74"/>
      <c r="K132" s="74"/>
      <c r="L132" s="74"/>
      <c r="M132" s="295"/>
      <c r="N132" s="295"/>
      <c r="O132" s="295"/>
      <c r="P132" s="296"/>
      <c r="Q132" s="295"/>
      <c r="R132" s="296"/>
      <c r="S132" s="74"/>
      <c r="T132" s="74"/>
      <c r="U132" s="74"/>
      <c r="V132" s="296"/>
      <c r="W132" s="38"/>
      <c r="X132" s="38"/>
      <c r="Y132" s="38"/>
      <c r="Z132" s="38"/>
      <c r="AA132" s="38" t="s">
        <v>415</v>
      </c>
      <c r="AB132" s="278"/>
      <c r="AC132" s="278"/>
      <c r="AD132" s="278"/>
      <c r="AE132" s="278"/>
      <c r="AF132" s="278"/>
      <c r="AG132" s="278"/>
      <c r="AH132" s="278"/>
      <c r="AI132" s="278"/>
      <c r="AJ132" s="278"/>
      <c r="AK132" s="278"/>
      <c r="AL132" s="278"/>
      <c r="AM132" s="278"/>
      <c r="AN132" s="278"/>
      <c r="AO132" s="130"/>
      <c r="AP132" s="47"/>
      <c r="AR132" s="79"/>
      <c r="AS132" s="361"/>
    </row>
    <row r="133" spans="1:45" s="78" customFormat="1" ht="15.75" x14ac:dyDescent="0.25">
      <c r="A133"/>
      <c r="B133"/>
      <c r="C133" s="478"/>
      <c r="D133" s="473"/>
      <c r="E133" s="473"/>
      <c r="F133"/>
      <c r="G133" s="74"/>
      <c r="H133" s="74"/>
      <c r="I133" s="74"/>
      <c r="J133" s="74"/>
      <c r="K133" s="74"/>
      <c r="L133" s="74"/>
      <c r="M133" s="295"/>
      <c r="N133" s="295"/>
      <c r="O133" s="295"/>
      <c r="P133" s="296"/>
      <c r="Q133" s="295"/>
      <c r="R133" s="296"/>
      <c r="S133" s="74"/>
      <c r="T133" s="74"/>
      <c r="U133" s="74"/>
      <c r="V133" s="296"/>
      <c r="W133" s="38"/>
      <c r="X133" s="38"/>
      <c r="Y133" s="38"/>
      <c r="Z133" s="38"/>
      <c r="AA133" s="38" t="s">
        <v>416</v>
      </c>
      <c r="AB133" s="131"/>
      <c r="AC133" s="278" t="e">
        <f>SUM(#REF!)</f>
        <v>#REF!</v>
      </c>
      <c r="AD133" s="278"/>
      <c r="AE133" s="278"/>
      <c r="AF133" s="278"/>
      <c r="AG133" s="278"/>
      <c r="AH133" s="278"/>
      <c r="AI133" s="278"/>
      <c r="AJ133" s="278"/>
      <c r="AK133" s="278"/>
      <c r="AL133" s="278"/>
      <c r="AM133" s="278"/>
      <c r="AN133" s="278"/>
      <c r="AO133" s="130"/>
      <c r="AP133" s="47"/>
      <c r="AR133" s="79"/>
      <c r="AS133" s="361"/>
    </row>
    <row r="134" spans="1:45" ht="15.75" x14ac:dyDescent="0.25">
      <c r="C134" s="478"/>
      <c r="D134" s="473"/>
      <c r="E134" s="473"/>
      <c r="U134" s="75"/>
      <c r="V134" s="442"/>
      <c r="AA134" s="38" t="s">
        <v>406</v>
      </c>
      <c r="AB134" s="128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47"/>
      <c r="AQ134" s="76"/>
      <c r="AR134" s="77"/>
    </row>
    <row r="135" spans="1:45" ht="15.75" x14ac:dyDescent="0.25">
      <c r="C135" s="482"/>
      <c r="D135" s="483"/>
      <c r="E135" s="483"/>
      <c r="U135" s="75"/>
      <c r="V135" s="442"/>
      <c r="AA135" s="38"/>
      <c r="AB135" s="128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47"/>
      <c r="AQ135" s="76"/>
      <c r="AR135" s="77"/>
    </row>
    <row r="136" spans="1:45" s="36" customFormat="1" ht="15.75" x14ac:dyDescent="0.25">
      <c r="A136" s="106" t="s">
        <v>582</v>
      </c>
      <c r="B136" s="107"/>
      <c r="C136" s="475"/>
      <c r="D136" s="476"/>
      <c r="E136" s="481"/>
      <c r="F136" s="107"/>
      <c r="G136" s="102"/>
      <c r="H136" s="102"/>
      <c r="I136" s="101"/>
      <c r="J136" s="101"/>
      <c r="K136" s="102"/>
      <c r="L136" s="102"/>
      <c r="M136" s="276"/>
      <c r="N136" s="276"/>
      <c r="O136" s="276"/>
      <c r="P136" s="84"/>
      <c r="Q136" s="276"/>
      <c r="R136" s="84"/>
      <c r="S136" s="102"/>
      <c r="T136" s="102"/>
      <c r="U136" s="102"/>
      <c r="V136" s="84"/>
      <c r="W136" s="84"/>
      <c r="X136" s="84"/>
      <c r="Y136" s="84"/>
      <c r="Z136" s="84"/>
      <c r="AA136" s="19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47"/>
      <c r="AQ136" s="85"/>
      <c r="AR136" s="51"/>
      <c r="AS136" s="359">
        <f t="shared" ref="AS136:AS168" si="48">AQ136-AA136</f>
        <v>0</v>
      </c>
    </row>
    <row r="137" spans="1:45" s="36" customFormat="1" ht="15.75" x14ac:dyDescent="0.25">
      <c r="A137" s="34" t="s">
        <v>430</v>
      </c>
      <c r="B137" s="34" t="s">
        <v>431</v>
      </c>
      <c r="C137" s="52" t="s">
        <v>581</v>
      </c>
      <c r="D137" s="445" t="s">
        <v>581</v>
      </c>
      <c r="E137" s="445"/>
      <c r="F137" s="52" t="s">
        <v>581</v>
      </c>
      <c r="G137" s="52" t="s">
        <v>581</v>
      </c>
      <c r="H137" s="341"/>
      <c r="I137" s="341"/>
      <c r="J137" s="341"/>
      <c r="K137" s="341"/>
      <c r="L137" s="341"/>
      <c r="M137" s="341" t="s">
        <v>581</v>
      </c>
      <c r="N137" s="341"/>
      <c r="O137" s="341" t="s">
        <v>581</v>
      </c>
      <c r="P137" s="342"/>
      <c r="Q137" s="341"/>
      <c r="R137" s="341" t="s">
        <v>581</v>
      </c>
      <c r="S137" s="52" t="s">
        <v>320</v>
      </c>
      <c r="T137" s="52" t="s">
        <v>581</v>
      </c>
      <c r="U137" s="52" t="s">
        <v>581</v>
      </c>
      <c r="V137" s="342"/>
      <c r="W137" s="52" t="s">
        <v>581</v>
      </c>
      <c r="X137" s="52" t="s">
        <v>581</v>
      </c>
      <c r="Y137" s="52" t="s">
        <v>581</v>
      </c>
      <c r="Z137" s="52"/>
      <c r="AA137" s="182">
        <v>137906</v>
      </c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3"/>
      <c r="AP137" s="47"/>
      <c r="AQ137" s="53">
        <f t="shared" ref="AQ137:AQ158" si="49">SUM(AB137:AP137)</f>
        <v>0</v>
      </c>
      <c r="AR137" s="51"/>
      <c r="AS137" s="359">
        <f t="shared" si="48"/>
        <v>-137906</v>
      </c>
    </row>
    <row r="138" spans="1:45" s="36" customFormat="1" ht="15.75" x14ac:dyDescent="0.25">
      <c r="A138" s="60" t="s">
        <v>432</v>
      </c>
      <c r="B138" s="61" t="s">
        <v>433</v>
      </c>
      <c r="C138" s="52" t="s">
        <v>581</v>
      </c>
      <c r="D138" s="445" t="s">
        <v>581</v>
      </c>
      <c r="E138" s="445"/>
      <c r="F138" s="52" t="s">
        <v>581</v>
      </c>
      <c r="G138" s="52" t="s">
        <v>581</v>
      </c>
      <c r="H138" s="341"/>
      <c r="I138" s="341"/>
      <c r="J138" s="341"/>
      <c r="K138" s="341"/>
      <c r="L138" s="341"/>
      <c r="M138" s="341" t="s">
        <v>581</v>
      </c>
      <c r="N138" s="341"/>
      <c r="O138" s="341" t="s">
        <v>581</v>
      </c>
      <c r="P138" s="342"/>
      <c r="Q138" s="341"/>
      <c r="R138" s="341" t="s">
        <v>581</v>
      </c>
      <c r="S138" s="52" t="s">
        <v>320</v>
      </c>
      <c r="T138" s="52" t="s">
        <v>581</v>
      </c>
      <c r="U138" s="52" t="s">
        <v>581</v>
      </c>
      <c r="V138" s="342"/>
      <c r="W138" s="52" t="s">
        <v>581</v>
      </c>
      <c r="X138" s="52" t="s">
        <v>581</v>
      </c>
      <c r="Y138" s="52" t="s">
        <v>581</v>
      </c>
      <c r="Z138" s="52"/>
      <c r="AA138" s="182">
        <v>136537</v>
      </c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3"/>
      <c r="AP138" s="47"/>
      <c r="AQ138" s="53">
        <f t="shared" si="49"/>
        <v>0</v>
      </c>
      <c r="AR138" s="51"/>
      <c r="AS138" s="359">
        <f t="shared" si="48"/>
        <v>-136537</v>
      </c>
    </row>
    <row r="139" spans="1:45" s="36" customFormat="1" ht="15.75" x14ac:dyDescent="0.25">
      <c r="A139" s="111" t="s">
        <v>558</v>
      </c>
      <c r="B139" s="112" t="s">
        <v>641</v>
      </c>
      <c r="C139" s="52" t="s">
        <v>319</v>
      </c>
      <c r="D139" s="445" t="s">
        <v>319</v>
      </c>
      <c r="E139" s="445"/>
      <c r="F139" s="310" t="s">
        <v>319</v>
      </c>
      <c r="G139" s="310" t="s">
        <v>319</v>
      </c>
      <c r="H139" s="341"/>
      <c r="I139" s="341"/>
      <c r="J139" s="341"/>
      <c r="K139" s="341"/>
      <c r="L139" s="341"/>
      <c r="M139" s="341" t="s">
        <v>319</v>
      </c>
      <c r="N139" s="341"/>
      <c r="O139" s="341" t="s">
        <v>319</v>
      </c>
      <c r="P139" s="342"/>
      <c r="Q139" s="341"/>
      <c r="R139" s="341" t="s">
        <v>319</v>
      </c>
      <c r="S139" s="52" t="s">
        <v>320</v>
      </c>
      <c r="T139" s="310" t="s">
        <v>319</v>
      </c>
      <c r="U139" s="310" t="s">
        <v>319</v>
      </c>
      <c r="V139" s="342"/>
      <c r="W139" s="310" t="s">
        <v>319</v>
      </c>
      <c r="X139" s="310" t="s">
        <v>319</v>
      </c>
      <c r="Y139" s="310" t="s">
        <v>319</v>
      </c>
      <c r="Z139" s="310"/>
      <c r="AA139" s="306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3"/>
      <c r="AP139" s="47"/>
      <c r="AQ139" s="53">
        <f t="shared" si="49"/>
        <v>0</v>
      </c>
      <c r="AR139" s="51"/>
      <c r="AS139" s="359">
        <f t="shared" si="48"/>
        <v>0</v>
      </c>
    </row>
    <row r="140" spans="1:45" s="36" customFormat="1" ht="15.75" x14ac:dyDescent="0.25">
      <c r="A140" s="60" t="s">
        <v>161</v>
      </c>
      <c r="B140" s="61" t="s">
        <v>163</v>
      </c>
      <c r="C140" s="52" t="s">
        <v>165</v>
      </c>
      <c r="D140" s="445" t="s">
        <v>165</v>
      </c>
      <c r="E140" s="445"/>
      <c r="F140" s="52" t="s">
        <v>165</v>
      </c>
      <c r="G140" s="52" t="s">
        <v>165</v>
      </c>
      <c r="H140" s="341"/>
      <c r="I140" s="341"/>
      <c r="J140" s="341"/>
      <c r="K140" s="341"/>
      <c r="L140" s="341"/>
      <c r="M140" s="341" t="s">
        <v>165</v>
      </c>
      <c r="N140" s="341"/>
      <c r="O140" s="341" t="s">
        <v>165</v>
      </c>
      <c r="P140" s="342"/>
      <c r="Q140" s="341"/>
      <c r="R140" s="341" t="s">
        <v>165</v>
      </c>
      <c r="S140" s="52" t="s">
        <v>320</v>
      </c>
      <c r="T140" s="52" t="s">
        <v>165</v>
      </c>
      <c r="U140" s="52" t="s">
        <v>165</v>
      </c>
      <c r="V140" s="342"/>
      <c r="W140" s="52" t="s">
        <v>165</v>
      </c>
      <c r="X140" s="52" t="s">
        <v>165</v>
      </c>
      <c r="Y140" s="52" t="s">
        <v>165</v>
      </c>
      <c r="Z140" s="52"/>
      <c r="AA140" s="86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3"/>
      <c r="AP140" s="47"/>
      <c r="AQ140" s="53">
        <f t="shared" si="49"/>
        <v>0</v>
      </c>
      <c r="AR140" s="51"/>
      <c r="AS140" s="359">
        <f t="shared" si="48"/>
        <v>0</v>
      </c>
    </row>
    <row r="141" spans="1:45" s="36" customFormat="1" ht="15.75" x14ac:dyDescent="0.25">
      <c r="A141" s="111" t="s">
        <v>82</v>
      </c>
      <c r="B141" s="112" t="s">
        <v>532</v>
      </c>
      <c r="C141" s="52" t="s">
        <v>319</v>
      </c>
      <c r="D141" s="445" t="s">
        <v>319</v>
      </c>
      <c r="E141" s="465"/>
      <c r="F141" s="340" t="s">
        <v>451</v>
      </c>
      <c r="G141" s="52" t="s">
        <v>165</v>
      </c>
      <c r="H141" s="341"/>
      <c r="I141" s="460"/>
      <c r="J141" s="460"/>
      <c r="K141" s="341"/>
      <c r="L141" s="341"/>
      <c r="M141" s="341" t="s">
        <v>165</v>
      </c>
      <c r="N141" s="341"/>
      <c r="O141" s="341" t="s">
        <v>165</v>
      </c>
      <c r="P141" s="342"/>
      <c r="Q141" s="341"/>
      <c r="R141" s="341" t="s">
        <v>165</v>
      </c>
      <c r="S141" s="87" t="s">
        <v>370</v>
      </c>
      <c r="T141" s="52" t="s">
        <v>165</v>
      </c>
      <c r="U141" s="52" t="s">
        <v>165</v>
      </c>
      <c r="V141" s="342"/>
      <c r="W141" s="52" t="s">
        <v>165</v>
      </c>
      <c r="X141" s="52" t="s">
        <v>165</v>
      </c>
      <c r="Y141" s="52" t="s">
        <v>165</v>
      </c>
      <c r="Z141" s="52"/>
      <c r="AA141" s="86">
        <v>33274</v>
      </c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3"/>
      <c r="AP141" s="47"/>
      <c r="AQ141" s="53">
        <f t="shared" si="49"/>
        <v>0</v>
      </c>
      <c r="AR141" s="51"/>
      <c r="AS141" s="359">
        <f t="shared" si="48"/>
        <v>-33274</v>
      </c>
    </row>
    <row r="142" spans="1:45" s="36" customFormat="1" ht="15.75" x14ac:dyDescent="0.25">
      <c r="A142" s="113" t="s">
        <v>716</v>
      </c>
      <c r="B142" s="114" t="s">
        <v>699</v>
      </c>
      <c r="C142" s="52" t="s">
        <v>319</v>
      </c>
      <c r="D142" s="445" t="s">
        <v>319</v>
      </c>
      <c r="E142" s="465"/>
      <c r="F142" s="362" t="s">
        <v>700</v>
      </c>
      <c r="G142" s="52" t="s">
        <v>165</v>
      </c>
      <c r="H142" s="341"/>
      <c r="I142" s="460"/>
      <c r="J142" s="460"/>
      <c r="K142" s="341"/>
      <c r="L142" s="341"/>
      <c r="M142" s="341" t="s">
        <v>165</v>
      </c>
      <c r="N142" s="341"/>
      <c r="O142" s="341" t="s">
        <v>165</v>
      </c>
      <c r="P142" s="342"/>
      <c r="Q142" s="341"/>
      <c r="R142" s="341" t="s">
        <v>165</v>
      </c>
      <c r="S142" s="52" t="s">
        <v>320</v>
      </c>
      <c r="T142" s="52" t="s">
        <v>165</v>
      </c>
      <c r="U142" s="52" t="s">
        <v>165</v>
      </c>
      <c r="V142" s="342"/>
      <c r="W142" s="52" t="s">
        <v>165</v>
      </c>
      <c r="X142" s="52" t="s">
        <v>165</v>
      </c>
      <c r="Y142" s="52" t="s">
        <v>165</v>
      </c>
      <c r="Z142" s="52"/>
      <c r="AA142" s="53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3"/>
      <c r="AP142" s="47"/>
      <c r="AQ142" s="53">
        <f t="shared" si="49"/>
        <v>0</v>
      </c>
      <c r="AR142" s="51"/>
      <c r="AS142" s="359">
        <f t="shared" si="48"/>
        <v>0</v>
      </c>
    </row>
    <row r="143" spans="1:45" s="36" customFormat="1" ht="15.75" x14ac:dyDescent="0.25">
      <c r="A143" s="244" t="s">
        <v>298</v>
      </c>
      <c r="B143" s="272" t="s">
        <v>299</v>
      </c>
      <c r="C143" s="52" t="s">
        <v>319</v>
      </c>
      <c r="D143" s="445" t="s">
        <v>319</v>
      </c>
      <c r="E143" s="445"/>
      <c r="F143" s="310" t="s">
        <v>319</v>
      </c>
      <c r="G143" s="310" t="s">
        <v>319</v>
      </c>
      <c r="H143" s="341"/>
      <c r="I143" s="341"/>
      <c r="J143" s="341"/>
      <c r="K143" s="341"/>
      <c r="L143" s="341"/>
      <c r="M143" s="341" t="s">
        <v>319</v>
      </c>
      <c r="N143" s="341"/>
      <c r="O143" s="341" t="s">
        <v>319</v>
      </c>
      <c r="P143" s="342"/>
      <c r="Q143" s="341"/>
      <c r="R143" s="341" t="s">
        <v>319</v>
      </c>
      <c r="S143" s="52" t="s">
        <v>320</v>
      </c>
      <c r="T143" s="310" t="s">
        <v>319</v>
      </c>
      <c r="U143" s="310" t="s">
        <v>319</v>
      </c>
      <c r="V143" s="342"/>
      <c r="W143" s="310" t="s">
        <v>319</v>
      </c>
      <c r="X143" s="310" t="s">
        <v>319</v>
      </c>
      <c r="Y143" s="310" t="s">
        <v>319</v>
      </c>
      <c r="Z143" s="310"/>
      <c r="AA143" s="306"/>
      <c r="AB143" s="58"/>
      <c r="AC143" s="58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47"/>
      <c r="AQ143" s="53">
        <f t="shared" si="49"/>
        <v>0</v>
      </c>
      <c r="AR143" s="51"/>
      <c r="AS143" s="359">
        <f t="shared" si="48"/>
        <v>0</v>
      </c>
    </row>
    <row r="144" spans="1:45" s="36" customFormat="1" ht="15.75" x14ac:dyDescent="0.25">
      <c r="A144" s="113" t="s">
        <v>180</v>
      </c>
      <c r="B144" s="113" t="s">
        <v>182</v>
      </c>
      <c r="C144" s="52" t="s">
        <v>319</v>
      </c>
      <c r="D144" s="445" t="s">
        <v>319</v>
      </c>
      <c r="E144" s="445"/>
      <c r="F144" s="345" t="s">
        <v>697</v>
      </c>
      <c r="G144" s="310" t="s">
        <v>319</v>
      </c>
      <c r="H144" s="341"/>
      <c r="I144" s="341"/>
      <c r="J144" s="341"/>
      <c r="K144" s="341"/>
      <c r="L144" s="341"/>
      <c r="M144" s="341" t="s">
        <v>319</v>
      </c>
      <c r="N144" s="341"/>
      <c r="O144" s="341" t="s">
        <v>319</v>
      </c>
      <c r="P144" s="342"/>
      <c r="Q144" s="341"/>
      <c r="R144" s="341" t="s">
        <v>319</v>
      </c>
      <c r="S144" s="310" t="s">
        <v>370</v>
      </c>
      <c r="T144" s="310" t="s">
        <v>319</v>
      </c>
      <c r="U144" s="310" t="s">
        <v>319</v>
      </c>
      <c r="V144" s="342"/>
      <c r="W144" s="310" t="s">
        <v>319</v>
      </c>
      <c r="X144" s="310" t="s">
        <v>319</v>
      </c>
      <c r="Y144" s="310" t="s">
        <v>319</v>
      </c>
      <c r="Z144" s="310"/>
      <c r="AA144" s="351"/>
      <c r="AB144" s="58"/>
      <c r="AC144" s="58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47"/>
      <c r="AQ144" s="53">
        <f t="shared" si="49"/>
        <v>0</v>
      </c>
      <c r="AR144" s="51"/>
      <c r="AS144" s="359">
        <f t="shared" si="48"/>
        <v>0</v>
      </c>
    </row>
    <row r="145" spans="1:47" s="36" customFormat="1" ht="15.75" x14ac:dyDescent="0.25">
      <c r="A145" s="244" t="s">
        <v>316</v>
      </c>
      <c r="B145" s="244" t="s">
        <v>435</v>
      </c>
      <c r="C145" s="52" t="s">
        <v>319</v>
      </c>
      <c r="D145" s="445" t="s">
        <v>319</v>
      </c>
      <c r="E145" s="445"/>
      <c r="F145" s="52" t="s">
        <v>319</v>
      </c>
      <c r="G145" s="52" t="s">
        <v>319</v>
      </c>
      <c r="H145" s="341"/>
      <c r="I145" s="341"/>
      <c r="J145" s="341"/>
      <c r="K145" s="341"/>
      <c r="L145" s="341"/>
      <c r="M145" s="341" t="s">
        <v>319</v>
      </c>
      <c r="N145" s="341"/>
      <c r="O145" s="341" t="s">
        <v>319</v>
      </c>
      <c r="P145" s="342"/>
      <c r="Q145" s="341"/>
      <c r="R145" s="341" t="s">
        <v>319</v>
      </c>
      <c r="S145" s="52" t="s">
        <v>320</v>
      </c>
      <c r="T145" s="52" t="s">
        <v>319</v>
      </c>
      <c r="U145" s="52" t="s">
        <v>319</v>
      </c>
      <c r="V145" s="342"/>
      <c r="W145" s="52" t="s">
        <v>319</v>
      </c>
      <c r="X145" s="52" t="s">
        <v>319</v>
      </c>
      <c r="Y145" s="52" t="s">
        <v>319</v>
      </c>
      <c r="Z145" s="52"/>
      <c r="AA145" s="182">
        <v>461956</v>
      </c>
      <c r="AB145" s="58"/>
      <c r="AC145" s="58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47"/>
      <c r="AQ145" s="53">
        <f t="shared" si="49"/>
        <v>0</v>
      </c>
      <c r="AR145" s="51"/>
      <c r="AS145" s="359">
        <f t="shared" si="48"/>
        <v>-461956</v>
      </c>
    </row>
    <row r="146" spans="1:47" s="36" customFormat="1" ht="15.75" x14ac:dyDescent="0.25">
      <c r="A146" s="113" t="s">
        <v>325</v>
      </c>
      <c r="B146" s="114" t="s">
        <v>418</v>
      </c>
      <c r="C146" s="52" t="s">
        <v>319</v>
      </c>
      <c r="D146" s="445" t="s">
        <v>319</v>
      </c>
      <c r="E146" s="445"/>
      <c r="F146" s="52" t="s">
        <v>319</v>
      </c>
      <c r="G146" s="52" t="s">
        <v>319</v>
      </c>
      <c r="H146" s="341"/>
      <c r="I146" s="341"/>
      <c r="J146" s="341"/>
      <c r="K146" s="341"/>
      <c r="L146" s="341"/>
      <c r="M146" s="341" t="s">
        <v>319</v>
      </c>
      <c r="N146" s="341"/>
      <c r="O146" s="341" t="s">
        <v>319</v>
      </c>
      <c r="P146" s="342"/>
      <c r="Q146" s="341"/>
      <c r="R146" s="341" t="s">
        <v>319</v>
      </c>
      <c r="S146" s="52" t="s">
        <v>320</v>
      </c>
      <c r="T146" s="52" t="s">
        <v>319</v>
      </c>
      <c r="U146" s="52" t="s">
        <v>319</v>
      </c>
      <c r="V146" s="342"/>
      <c r="W146" s="52" t="s">
        <v>319</v>
      </c>
      <c r="X146" s="52" t="s">
        <v>319</v>
      </c>
      <c r="Y146" s="52" t="s">
        <v>319</v>
      </c>
      <c r="Z146" s="52"/>
      <c r="AA146" s="247">
        <v>15630</v>
      </c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3"/>
      <c r="AP146" s="47"/>
      <c r="AQ146" s="53">
        <f t="shared" si="49"/>
        <v>0</v>
      </c>
      <c r="AR146" s="51"/>
      <c r="AS146" s="359">
        <f t="shared" si="48"/>
        <v>-15630</v>
      </c>
    </row>
    <row r="147" spans="1:47" s="36" customFormat="1" ht="15.75" x14ac:dyDescent="0.25">
      <c r="A147" s="113" t="s">
        <v>328</v>
      </c>
      <c r="B147" s="114" t="s">
        <v>419</v>
      </c>
      <c r="C147" s="52" t="s">
        <v>319</v>
      </c>
      <c r="D147" s="445" t="s">
        <v>319</v>
      </c>
      <c r="E147" s="445"/>
      <c r="F147" s="52" t="s">
        <v>319</v>
      </c>
      <c r="G147" s="52" t="s">
        <v>319</v>
      </c>
      <c r="H147" s="341"/>
      <c r="I147" s="341"/>
      <c r="J147" s="341"/>
      <c r="K147" s="341"/>
      <c r="L147" s="341"/>
      <c r="M147" s="341" t="s">
        <v>319</v>
      </c>
      <c r="N147" s="341"/>
      <c r="O147" s="341" t="s">
        <v>319</v>
      </c>
      <c r="P147" s="342"/>
      <c r="Q147" s="341"/>
      <c r="R147" s="341" t="s">
        <v>319</v>
      </c>
      <c r="S147" s="52" t="s">
        <v>320</v>
      </c>
      <c r="T147" s="52" t="s">
        <v>319</v>
      </c>
      <c r="U147" s="52" t="s">
        <v>319</v>
      </c>
      <c r="V147" s="342"/>
      <c r="W147" s="52" t="s">
        <v>319</v>
      </c>
      <c r="X147" s="52" t="s">
        <v>319</v>
      </c>
      <c r="Y147" s="52" t="s">
        <v>319</v>
      </c>
      <c r="Z147" s="52"/>
      <c r="AA147" s="247">
        <v>15000</v>
      </c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3"/>
      <c r="AP147" s="47"/>
      <c r="AQ147" s="53">
        <f t="shared" si="49"/>
        <v>0</v>
      </c>
      <c r="AR147" s="51"/>
      <c r="AS147" s="359">
        <f t="shared" si="48"/>
        <v>-15000</v>
      </c>
    </row>
    <row r="148" spans="1:47" s="36" customFormat="1" ht="15.75" x14ac:dyDescent="0.25">
      <c r="A148" s="113" t="s">
        <v>110</v>
      </c>
      <c r="B148" s="114" t="s">
        <v>111</v>
      </c>
      <c r="C148" s="52" t="s">
        <v>319</v>
      </c>
      <c r="D148" s="445" t="s">
        <v>319</v>
      </c>
      <c r="E148" s="445"/>
      <c r="F148" s="52" t="s">
        <v>319</v>
      </c>
      <c r="G148" s="52" t="s">
        <v>319</v>
      </c>
      <c r="H148" s="341"/>
      <c r="I148" s="341"/>
      <c r="J148" s="341"/>
      <c r="K148" s="341"/>
      <c r="L148" s="341"/>
      <c r="M148" s="341" t="s">
        <v>319</v>
      </c>
      <c r="N148" s="341"/>
      <c r="O148" s="341" t="s">
        <v>319</v>
      </c>
      <c r="P148" s="342"/>
      <c r="Q148" s="341"/>
      <c r="R148" s="341" t="s">
        <v>319</v>
      </c>
      <c r="S148" s="52" t="s">
        <v>320</v>
      </c>
      <c r="T148" s="52" t="s">
        <v>319</v>
      </c>
      <c r="U148" s="52" t="s">
        <v>319</v>
      </c>
      <c r="V148" s="342"/>
      <c r="W148" s="52" t="s">
        <v>319</v>
      </c>
      <c r="X148" s="52" t="s">
        <v>319</v>
      </c>
      <c r="Y148" s="52" t="s">
        <v>319</v>
      </c>
      <c r="Z148" s="52"/>
      <c r="AA148" s="86"/>
      <c r="AB148" s="58"/>
      <c r="AC148" s="58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47"/>
      <c r="AQ148" s="53">
        <f t="shared" si="49"/>
        <v>0</v>
      </c>
      <c r="AR148" s="51"/>
      <c r="AS148" s="359">
        <f t="shared" si="48"/>
        <v>0</v>
      </c>
    </row>
    <row r="149" spans="1:47" s="36" customFormat="1" ht="15.75" x14ac:dyDescent="0.25">
      <c r="A149" s="113" t="s">
        <v>187</v>
      </c>
      <c r="B149" s="114" t="s">
        <v>188</v>
      </c>
      <c r="C149" s="52" t="s">
        <v>319</v>
      </c>
      <c r="D149" s="445" t="s">
        <v>319</v>
      </c>
      <c r="E149" s="445"/>
      <c r="F149" s="52" t="s">
        <v>319</v>
      </c>
      <c r="G149" s="52" t="s">
        <v>319</v>
      </c>
      <c r="H149" s="341"/>
      <c r="I149" s="341"/>
      <c r="J149" s="341"/>
      <c r="K149" s="341"/>
      <c r="L149" s="341"/>
      <c r="M149" s="341" t="s">
        <v>319</v>
      </c>
      <c r="N149" s="341"/>
      <c r="O149" s="341" t="s">
        <v>319</v>
      </c>
      <c r="P149" s="342"/>
      <c r="Q149" s="341"/>
      <c r="R149" s="341" t="s">
        <v>319</v>
      </c>
      <c r="S149" s="52" t="s">
        <v>320</v>
      </c>
      <c r="T149" s="52" t="s">
        <v>319</v>
      </c>
      <c r="U149" s="52" t="s">
        <v>319</v>
      </c>
      <c r="V149" s="342"/>
      <c r="W149" s="52" t="s">
        <v>319</v>
      </c>
      <c r="X149" s="52" t="s">
        <v>319</v>
      </c>
      <c r="Y149" s="52" t="s">
        <v>319</v>
      </c>
      <c r="Z149" s="52"/>
      <c r="AA149" s="182">
        <v>41062</v>
      </c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47"/>
      <c r="AQ149" s="53">
        <f t="shared" si="49"/>
        <v>0</v>
      </c>
      <c r="AR149" s="51"/>
      <c r="AS149" s="359">
        <f t="shared" si="48"/>
        <v>-41062</v>
      </c>
    </row>
    <row r="150" spans="1:47" s="36" customFormat="1" ht="15.75" x14ac:dyDescent="0.25">
      <c r="A150" s="113" t="s">
        <v>178</v>
      </c>
      <c r="B150" s="113" t="s">
        <v>179</v>
      </c>
      <c r="C150" s="52" t="s">
        <v>319</v>
      </c>
      <c r="D150" s="445" t="s">
        <v>319</v>
      </c>
      <c r="E150" s="445"/>
      <c r="F150" s="52" t="s">
        <v>319</v>
      </c>
      <c r="G150" s="52" t="s">
        <v>319</v>
      </c>
      <c r="H150" s="341"/>
      <c r="I150" s="341"/>
      <c r="J150" s="341"/>
      <c r="K150" s="341"/>
      <c r="L150" s="341"/>
      <c r="M150" s="341" t="s">
        <v>319</v>
      </c>
      <c r="N150" s="341"/>
      <c r="O150" s="341" t="s">
        <v>319</v>
      </c>
      <c r="P150" s="342"/>
      <c r="Q150" s="341"/>
      <c r="R150" s="341" t="s">
        <v>319</v>
      </c>
      <c r="S150" s="52" t="s">
        <v>320</v>
      </c>
      <c r="T150" s="52" t="s">
        <v>319</v>
      </c>
      <c r="U150" s="52" t="s">
        <v>319</v>
      </c>
      <c r="V150" s="342"/>
      <c r="W150" s="52" t="s">
        <v>319</v>
      </c>
      <c r="X150" s="52" t="s">
        <v>319</v>
      </c>
      <c r="Y150" s="52" t="s">
        <v>319</v>
      </c>
      <c r="Z150" s="52"/>
      <c r="AA150" s="86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3"/>
      <c r="AP150" s="47"/>
      <c r="AQ150" s="53">
        <f t="shared" si="49"/>
        <v>0</v>
      </c>
      <c r="AR150" s="51"/>
      <c r="AS150" s="359">
        <f t="shared" si="48"/>
        <v>0</v>
      </c>
    </row>
    <row r="151" spans="1:47" s="36" customFormat="1" ht="15.75" x14ac:dyDescent="0.25">
      <c r="A151" s="113" t="s">
        <v>544</v>
      </c>
      <c r="B151" s="113" t="s">
        <v>668</v>
      </c>
      <c r="C151" s="52" t="s">
        <v>319</v>
      </c>
      <c r="D151" s="445" t="s">
        <v>319</v>
      </c>
      <c r="E151" s="445"/>
      <c r="F151" s="345" t="s">
        <v>691</v>
      </c>
      <c r="G151" s="52" t="s">
        <v>319</v>
      </c>
      <c r="H151" s="341"/>
      <c r="I151" s="341"/>
      <c r="J151" s="341"/>
      <c r="K151" s="341"/>
      <c r="L151" s="341"/>
      <c r="M151" s="341" t="s">
        <v>319</v>
      </c>
      <c r="N151" s="341"/>
      <c r="O151" s="341" t="s">
        <v>319</v>
      </c>
      <c r="P151" s="342"/>
      <c r="Q151" s="341"/>
      <c r="R151" s="341" t="s">
        <v>319</v>
      </c>
      <c r="S151" s="87" t="s">
        <v>320</v>
      </c>
      <c r="T151" s="52" t="s">
        <v>319</v>
      </c>
      <c r="U151" s="52" t="s">
        <v>319</v>
      </c>
      <c r="V151" s="342"/>
      <c r="W151" s="52" t="s">
        <v>319</v>
      </c>
      <c r="X151" s="52" t="s">
        <v>319</v>
      </c>
      <c r="Y151" s="52" t="s">
        <v>319</v>
      </c>
      <c r="Z151" s="52"/>
      <c r="AA151" s="181">
        <v>15493</v>
      </c>
      <c r="AB151" s="58"/>
      <c r="AC151" s="58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47"/>
      <c r="AQ151" s="53">
        <f t="shared" si="49"/>
        <v>0</v>
      </c>
      <c r="AR151" s="51"/>
      <c r="AS151" s="359">
        <f t="shared" si="48"/>
        <v>-15493</v>
      </c>
    </row>
    <row r="152" spans="1:47" s="36" customFormat="1" ht="15.75" x14ac:dyDescent="0.25">
      <c r="A152" s="113" t="s">
        <v>602</v>
      </c>
      <c r="B152" s="114" t="s">
        <v>603</v>
      </c>
      <c r="C152" s="52" t="s">
        <v>319</v>
      </c>
      <c r="D152" s="445" t="s">
        <v>319</v>
      </c>
      <c r="E152" s="445"/>
      <c r="F152" s="52" t="s">
        <v>319</v>
      </c>
      <c r="G152" s="52" t="s">
        <v>319</v>
      </c>
      <c r="H152" s="341"/>
      <c r="I152" s="341"/>
      <c r="J152" s="341"/>
      <c r="K152" s="341"/>
      <c r="L152" s="341"/>
      <c r="M152" s="341" t="s">
        <v>319</v>
      </c>
      <c r="N152" s="341"/>
      <c r="O152" s="341" t="s">
        <v>319</v>
      </c>
      <c r="P152" s="342"/>
      <c r="Q152" s="341"/>
      <c r="R152" s="341" t="s">
        <v>319</v>
      </c>
      <c r="S152" s="52" t="s">
        <v>320</v>
      </c>
      <c r="T152" s="52" t="s">
        <v>319</v>
      </c>
      <c r="U152" s="52" t="s">
        <v>319</v>
      </c>
      <c r="V152" s="342"/>
      <c r="W152" s="52" t="s">
        <v>319</v>
      </c>
      <c r="X152" s="52" t="s">
        <v>319</v>
      </c>
      <c r="Y152" s="52" t="s">
        <v>319</v>
      </c>
      <c r="Z152" s="52"/>
      <c r="AA152" s="53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3"/>
      <c r="AP152" s="47"/>
      <c r="AQ152" s="53">
        <f t="shared" si="49"/>
        <v>0</v>
      </c>
      <c r="AR152" s="51"/>
      <c r="AS152" s="359">
        <f t="shared" si="48"/>
        <v>0</v>
      </c>
    </row>
    <row r="153" spans="1:47" s="36" customFormat="1" ht="15.75" x14ac:dyDescent="0.25">
      <c r="A153" s="113" t="s">
        <v>747</v>
      </c>
      <c r="B153" s="114" t="s">
        <v>598</v>
      </c>
      <c r="C153" s="52" t="s">
        <v>319</v>
      </c>
      <c r="D153" s="445" t="s">
        <v>319</v>
      </c>
      <c r="E153" s="445"/>
      <c r="F153" s="52" t="s">
        <v>319</v>
      </c>
      <c r="G153" s="52" t="s">
        <v>319</v>
      </c>
      <c r="H153" s="341"/>
      <c r="I153" s="341"/>
      <c r="J153" s="341"/>
      <c r="K153" s="341"/>
      <c r="L153" s="341"/>
      <c r="M153" s="341" t="s">
        <v>319</v>
      </c>
      <c r="N153" s="341"/>
      <c r="O153" s="341" t="s">
        <v>319</v>
      </c>
      <c r="P153" s="342"/>
      <c r="Q153" s="341"/>
      <c r="R153" s="341" t="s">
        <v>319</v>
      </c>
      <c r="S153" s="52" t="s">
        <v>320</v>
      </c>
      <c r="T153" s="52" t="s">
        <v>319</v>
      </c>
      <c r="U153" s="52" t="s">
        <v>319</v>
      </c>
      <c r="V153" s="342"/>
      <c r="W153" s="52" t="s">
        <v>319</v>
      </c>
      <c r="X153" s="52" t="s">
        <v>319</v>
      </c>
      <c r="Y153" s="52" t="s">
        <v>319</v>
      </c>
      <c r="Z153" s="52"/>
      <c r="AA153" s="53"/>
      <c r="AB153" s="58"/>
      <c r="AC153" s="58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47"/>
      <c r="AQ153" s="53">
        <f t="shared" si="49"/>
        <v>0</v>
      </c>
      <c r="AR153" s="51"/>
      <c r="AS153" s="359">
        <f t="shared" si="48"/>
        <v>0</v>
      </c>
    </row>
    <row r="154" spans="1:47" s="36" customFormat="1" ht="15.75" x14ac:dyDescent="0.25">
      <c r="A154" s="113" t="s">
        <v>586</v>
      </c>
      <c r="B154" s="114" t="s">
        <v>587</v>
      </c>
      <c r="C154" s="52" t="s">
        <v>319</v>
      </c>
      <c r="D154" s="445" t="s">
        <v>319</v>
      </c>
      <c r="E154" s="445"/>
      <c r="F154" s="52" t="s">
        <v>319</v>
      </c>
      <c r="G154" s="52" t="s">
        <v>319</v>
      </c>
      <c r="H154" s="341"/>
      <c r="I154" s="341"/>
      <c r="J154" s="341"/>
      <c r="K154" s="341"/>
      <c r="L154" s="341"/>
      <c r="M154" s="341" t="s">
        <v>319</v>
      </c>
      <c r="N154" s="341"/>
      <c r="O154" s="341" t="s">
        <v>319</v>
      </c>
      <c r="P154" s="342"/>
      <c r="Q154" s="341"/>
      <c r="R154" s="341" t="s">
        <v>319</v>
      </c>
      <c r="S154" s="52" t="s">
        <v>320</v>
      </c>
      <c r="T154" s="52" t="s">
        <v>319</v>
      </c>
      <c r="U154" s="52" t="s">
        <v>319</v>
      </c>
      <c r="V154" s="342"/>
      <c r="W154" s="52" t="s">
        <v>319</v>
      </c>
      <c r="X154" s="52" t="s">
        <v>319</v>
      </c>
      <c r="Y154" s="52" t="s">
        <v>319</v>
      </c>
      <c r="Z154" s="52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3"/>
      <c r="AP154" s="47"/>
      <c r="AQ154" s="53">
        <f t="shared" si="49"/>
        <v>0</v>
      </c>
      <c r="AR154" s="51"/>
      <c r="AS154" s="359">
        <f t="shared" si="48"/>
        <v>0</v>
      </c>
    </row>
    <row r="155" spans="1:47" s="36" customFormat="1" ht="15.75" x14ac:dyDescent="0.25">
      <c r="A155" s="113" t="s">
        <v>583</v>
      </c>
      <c r="B155" s="114" t="s">
        <v>588</v>
      </c>
      <c r="C155" s="52" t="s">
        <v>319</v>
      </c>
      <c r="D155" s="445" t="s">
        <v>319</v>
      </c>
      <c r="E155" s="445"/>
      <c r="F155" s="52" t="s">
        <v>319</v>
      </c>
      <c r="G155" s="52" t="s">
        <v>319</v>
      </c>
      <c r="H155" s="341"/>
      <c r="I155" s="341"/>
      <c r="J155" s="341"/>
      <c r="K155" s="341"/>
      <c r="L155" s="341"/>
      <c r="M155" s="341" t="s">
        <v>319</v>
      </c>
      <c r="N155" s="341"/>
      <c r="O155" s="341" t="s">
        <v>319</v>
      </c>
      <c r="P155" s="342"/>
      <c r="Q155" s="341"/>
      <c r="R155" s="341" t="s">
        <v>319</v>
      </c>
      <c r="S155" s="52" t="s">
        <v>320</v>
      </c>
      <c r="T155" s="52" t="s">
        <v>319</v>
      </c>
      <c r="U155" s="52" t="s">
        <v>319</v>
      </c>
      <c r="V155" s="342"/>
      <c r="W155" s="52" t="s">
        <v>319</v>
      </c>
      <c r="X155" s="52" t="s">
        <v>319</v>
      </c>
      <c r="Y155" s="52" t="s">
        <v>319</v>
      </c>
      <c r="Z155" s="52"/>
      <c r="AA155" s="53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3"/>
      <c r="AP155" s="47"/>
      <c r="AQ155" s="53">
        <f t="shared" si="49"/>
        <v>0</v>
      </c>
      <c r="AR155" s="51"/>
      <c r="AS155" s="359">
        <f t="shared" si="48"/>
        <v>0</v>
      </c>
      <c r="AU155" s="55"/>
    </row>
    <row r="156" spans="1:47" s="36" customFormat="1" ht="15.75" x14ac:dyDescent="0.25">
      <c r="A156" s="113" t="s">
        <v>584</v>
      </c>
      <c r="B156" s="114" t="s">
        <v>585</v>
      </c>
      <c r="C156" s="52" t="s">
        <v>319</v>
      </c>
      <c r="D156" s="445" t="s">
        <v>319</v>
      </c>
      <c r="E156" s="445"/>
      <c r="F156" s="52" t="s">
        <v>319</v>
      </c>
      <c r="G156" s="52" t="s">
        <v>319</v>
      </c>
      <c r="H156" s="341"/>
      <c r="I156" s="341"/>
      <c r="J156" s="341"/>
      <c r="K156" s="341"/>
      <c r="L156" s="341"/>
      <c r="M156" s="341" t="s">
        <v>319</v>
      </c>
      <c r="N156" s="341"/>
      <c r="O156" s="341" t="s">
        <v>319</v>
      </c>
      <c r="P156" s="342"/>
      <c r="Q156" s="341"/>
      <c r="R156" s="341" t="s">
        <v>319</v>
      </c>
      <c r="S156" s="52" t="s">
        <v>320</v>
      </c>
      <c r="T156" s="52" t="s">
        <v>319</v>
      </c>
      <c r="U156" s="52" t="s">
        <v>319</v>
      </c>
      <c r="V156" s="342"/>
      <c r="W156" s="52" t="s">
        <v>319</v>
      </c>
      <c r="X156" s="52" t="s">
        <v>319</v>
      </c>
      <c r="Y156" s="52" t="s">
        <v>319</v>
      </c>
      <c r="Z156" s="52"/>
      <c r="AA156" s="53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3"/>
      <c r="AP156" s="47"/>
      <c r="AQ156" s="53">
        <f t="shared" si="49"/>
        <v>0</v>
      </c>
      <c r="AR156" s="51"/>
      <c r="AS156" s="359">
        <f t="shared" si="48"/>
        <v>0</v>
      </c>
      <c r="AU156" s="55"/>
    </row>
    <row r="157" spans="1:47" s="36" customFormat="1" ht="15.75" x14ac:dyDescent="0.25">
      <c r="A157" s="113" t="s">
        <v>714</v>
      </c>
      <c r="B157" s="114" t="s">
        <v>715</v>
      </c>
      <c r="C157" s="52" t="s">
        <v>319</v>
      </c>
      <c r="D157" s="445" t="s">
        <v>319</v>
      </c>
      <c r="E157" s="445"/>
      <c r="F157" s="52" t="s">
        <v>319</v>
      </c>
      <c r="G157" s="52" t="s">
        <v>319</v>
      </c>
      <c r="H157" s="341"/>
      <c r="I157" s="341"/>
      <c r="J157" s="341"/>
      <c r="K157" s="341"/>
      <c r="L157" s="341"/>
      <c r="M157" s="341" t="s">
        <v>319</v>
      </c>
      <c r="N157" s="341"/>
      <c r="O157" s="341" t="s">
        <v>319</v>
      </c>
      <c r="P157" s="342"/>
      <c r="Q157" s="341"/>
      <c r="R157" s="341" t="s">
        <v>319</v>
      </c>
      <c r="S157" s="52" t="s">
        <v>320</v>
      </c>
      <c r="T157" s="52" t="s">
        <v>319</v>
      </c>
      <c r="U157" s="52" t="s">
        <v>319</v>
      </c>
      <c r="V157" s="342"/>
      <c r="W157" s="52" t="s">
        <v>319</v>
      </c>
      <c r="X157" s="52" t="s">
        <v>319</v>
      </c>
      <c r="Y157" s="52" t="s">
        <v>319</v>
      </c>
      <c r="Z157" s="52"/>
      <c r="AA157" s="53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3"/>
      <c r="AP157" s="47"/>
      <c r="AQ157" s="53">
        <f t="shared" si="49"/>
        <v>0</v>
      </c>
      <c r="AR157" s="51"/>
      <c r="AS157" s="359">
        <f t="shared" si="48"/>
        <v>0</v>
      </c>
      <c r="AU157" s="55"/>
    </row>
    <row r="158" spans="1:47" s="36" customFormat="1" ht="15.75" x14ac:dyDescent="0.25">
      <c r="A158" s="113" t="s">
        <v>589</v>
      </c>
      <c r="B158" s="114" t="s">
        <v>590</v>
      </c>
      <c r="C158" s="52" t="s">
        <v>319</v>
      </c>
      <c r="D158" s="445" t="s">
        <v>319</v>
      </c>
      <c r="E158" s="445"/>
      <c r="F158" s="52" t="s">
        <v>319</v>
      </c>
      <c r="G158" s="52" t="s">
        <v>319</v>
      </c>
      <c r="H158" s="341"/>
      <c r="I158" s="341"/>
      <c r="J158" s="341"/>
      <c r="K158" s="341"/>
      <c r="L158" s="341"/>
      <c r="M158" s="341" t="s">
        <v>319</v>
      </c>
      <c r="N158" s="341"/>
      <c r="O158" s="341" t="s">
        <v>319</v>
      </c>
      <c r="P158" s="342"/>
      <c r="Q158" s="341"/>
      <c r="R158" s="341" t="s">
        <v>319</v>
      </c>
      <c r="S158" s="52" t="s">
        <v>320</v>
      </c>
      <c r="T158" s="52" t="s">
        <v>319</v>
      </c>
      <c r="U158" s="52" t="s">
        <v>319</v>
      </c>
      <c r="V158" s="342"/>
      <c r="W158" s="52" t="s">
        <v>319</v>
      </c>
      <c r="X158" s="52" t="s">
        <v>319</v>
      </c>
      <c r="Y158" s="52" t="s">
        <v>319</v>
      </c>
      <c r="Z158" s="52"/>
      <c r="AA158" s="210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3"/>
      <c r="AP158" s="47"/>
      <c r="AQ158" s="53">
        <f t="shared" si="49"/>
        <v>0</v>
      </c>
      <c r="AR158" s="51"/>
      <c r="AS158" s="359">
        <f t="shared" si="48"/>
        <v>0</v>
      </c>
      <c r="AU158" s="55"/>
    </row>
    <row r="159" spans="1:47" s="36" customFormat="1" ht="15.75" x14ac:dyDescent="0.25">
      <c r="A159" s="113" t="s">
        <v>718</v>
      </c>
      <c r="B159" s="113" t="s">
        <v>660</v>
      </c>
      <c r="C159" s="458" t="s">
        <v>708</v>
      </c>
      <c r="D159" s="445" t="s">
        <v>402</v>
      </c>
      <c r="E159" s="455"/>
      <c r="F159" s="459" t="s">
        <v>876</v>
      </c>
      <c r="G159" s="341" t="s">
        <v>877</v>
      </c>
      <c r="H159" s="341" t="s">
        <v>370</v>
      </c>
      <c r="I159" s="458" t="s">
        <v>826</v>
      </c>
      <c r="J159" s="458"/>
      <c r="K159" s="341">
        <v>44544</v>
      </c>
      <c r="L159" s="341">
        <v>44564</v>
      </c>
      <c r="M159" s="341">
        <v>44589</v>
      </c>
      <c r="N159" s="341">
        <v>44619</v>
      </c>
      <c r="O159" s="341">
        <f>M159+30</f>
        <v>44619</v>
      </c>
      <c r="P159" s="342"/>
      <c r="Q159" s="342">
        <f>N159-L159</f>
        <v>55</v>
      </c>
      <c r="R159" s="342">
        <f>O159-M159</f>
        <v>30</v>
      </c>
      <c r="S159" s="341" t="s">
        <v>320</v>
      </c>
      <c r="T159" s="341">
        <v>44613</v>
      </c>
      <c r="U159" s="341">
        <f>T159+(6*4.3*7)</f>
        <v>44793.599999999999</v>
      </c>
      <c r="V159" s="342">
        <v>5.999999999999952</v>
      </c>
      <c r="W159" s="342">
        <f>((U159-T159)/7)/4.3</f>
        <v>5.999999999999952</v>
      </c>
      <c r="X159" s="342"/>
      <c r="Y159" s="342"/>
      <c r="Z159" s="50"/>
      <c r="AA159" s="182">
        <v>2860071.9</v>
      </c>
      <c r="AB159" s="211">
        <v>269645.40000000002</v>
      </c>
      <c r="AC159" s="58"/>
      <c r="AD159" s="58"/>
      <c r="AE159" s="275">
        <v>125000</v>
      </c>
      <c r="AF159" s="275">
        <v>125000</v>
      </c>
      <c r="AG159" s="275">
        <v>125000</v>
      </c>
      <c r="AH159" s="275">
        <v>105000</v>
      </c>
      <c r="AI159" s="275"/>
      <c r="AJ159" s="275"/>
      <c r="AK159" s="275"/>
      <c r="AL159" s="58"/>
      <c r="AM159" s="58">
        <v>200000</v>
      </c>
      <c r="AN159" s="58"/>
      <c r="AO159" s="53"/>
      <c r="AP159" s="47"/>
      <c r="AQ159" s="53">
        <f>SUM(AB159:AP159)</f>
        <v>949645.4</v>
      </c>
      <c r="AR159" s="51"/>
      <c r="AS159" s="359">
        <f>AQ159-AA159</f>
        <v>-1910426.5</v>
      </c>
    </row>
    <row r="160" spans="1:47" s="36" customFormat="1" ht="15.75" x14ac:dyDescent="0.25">
      <c r="A160" s="113" t="s">
        <v>720</v>
      </c>
      <c r="B160" s="114" t="s">
        <v>721</v>
      </c>
      <c r="C160" s="52" t="s">
        <v>319</v>
      </c>
      <c r="D160" s="445" t="s">
        <v>319</v>
      </c>
      <c r="E160" s="445"/>
      <c r="F160" s="52" t="s">
        <v>319</v>
      </c>
      <c r="G160" s="52" t="s">
        <v>319</v>
      </c>
      <c r="H160" s="341" t="s">
        <v>320</v>
      </c>
      <c r="I160" s="341"/>
      <c r="J160" s="341"/>
      <c r="K160" s="341" t="s">
        <v>319</v>
      </c>
      <c r="L160" s="341"/>
      <c r="M160" s="341" t="s">
        <v>319</v>
      </c>
      <c r="N160" s="341"/>
      <c r="O160" s="341" t="s">
        <v>319</v>
      </c>
      <c r="P160" s="342"/>
      <c r="Q160" s="341"/>
      <c r="R160" s="341" t="s">
        <v>319</v>
      </c>
      <c r="S160" s="52" t="s">
        <v>320</v>
      </c>
      <c r="T160" s="52" t="s">
        <v>319</v>
      </c>
      <c r="U160" s="52" t="s">
        <v>319</v>
      </c>
      <c r="V160" s="342"/>
      <c r="W160" s="52" t="s">
        <v>319</v>
      </c>
      <c r="X160" s="52" t="s">
        <v>319</v>
      </c>
      <c r="Y160" s="52" t="s">
        <v>319</v>
      </c>
      <c r="Z160" s="52"/>
      <c r="AA160" s="53">
        <v>0</v>
      </c>
      <c r="AB160" s="53"/>
      <c r="AC160" s="58"/>
      <c r="AD160" s="58"/>
      <c r="AE160" s="275"/>
      <c r="AF160" s="275"/>
      <c r="AG160" s="275"/>
      <c r="AH160" s="275"/>
      <c r="AI160" s="275"/>
      <c r="AJ160" s="275"/>
      <c r="AK160" s="275"/>
      <c r="AL160" s="275"/>
      <c r="AM160" s="275"/>
      <c r="AN160" s="275"/>
      <c r="AO160" s="53"/>
      <c r="AP160" s="47"/>
      <c r="AQ160" s="53"/>
      <c r="AR160" s="51"/>
      <c r="AS160" s="359">
        <f t="shared" si="48"/>
        <v>0</v>
      </c>
      <c r="AU160" s="55"/>
    </row>
    <row r="161" spans="1:47" s="36" customFormat="1" ht="15.75" x14ac:dyDescent="0.25">
      <c r="A161" s="113" t="s">
        <v>722</v>
      </c>
      <c r="B161" s="114" t="s">
        <v>723</v>
      </c>
      <c r="C161" s="52" t="s">
        <v>319</v>
      </c>
      <c r="D161" s="445" t="s">
        <v>319</v>
      </c>
      <c r="E161" s="445"/>
      <c r="F161" s="52" t="s">
        <v>319</v>
      </c>
      <c r="G161" s="52" t="s">
        <v>319</v>
      </c>
      <c r="H161" s="341"/>
      <c r="I161" s="341"/>
      <c r="J161" s="341"/>
      <c r="K161" s="341"/>
      <c r="L161" s="341"/>
      <c r="M161" s="341" t="s">
        <v>319</v>
      </c>
      <c r="N161" s="341"/>
      <c r="O161" s="341" t="s">
        <v>319</v>
      </c>
      <c r="P161" s="342"/>
      <c r="Q161" s="341"/>
      <c r="R161" s="341" t="s">
        <v>319</v>
      </c>
      <c r="S161" s="52" t="s">
        <v>320</v>
      </c>
      <c r="T161" s="52" t="s">
        <v>319</v>
      </c>
      <c r="U161" s="52" t="s">
        <v>319</v>
      </c>
      <c r="V161" s="342"/>
      <c r="W161" s="52" t="s">
        <v>319</v>
      </c>
      <c r="X161" s="52" t="s">
        <v>319</v>
      </c>
      <c r="Y161" s="52" t="s">
        <v>319</v>
      </c>
      <c r="Z161" s="52"/>
      <c r="AA161" s="53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3"/>
      <c r="AP161" s="47"/>
      <c r="AQ161" s="53">
        <f t="shared" ref="AQ161:AQ168" si="50">SUM(AB161:AP161)</f>
        <v>0</v>
      </c>
      <c r="AR161" s="51"/>
      <c r="AS161" s="359">
        <f t="shared" si="48"/>
        <v>0</v>
      </c>
      <c r="AU161" s="55"/>
    </row>
    <row r="162" spans="1:47" s="36" customFormat="1" ht="15.75" x14ac:dyDescent="0.25">
      <c r="A162" s="113" t="s">
        <v>728</v>
      </c>
      <c r="B162" s="114" t="s">
        <v>731</v>
      </c>
      <c r="C162" s="52" t="s">
        <v>319</v>
      </c>
      <c r="D162" s="445" t="s">
        <v>319</v>
      </c>
      <c r="E162" s="445"/>
      <c r="F162" s="52" t="s">
        <v>319</v>
      </c>
      <c r="G162" s="52" t="s">
        <v>319</v>
      </c>
      <c r="H162" s="341"/>
      <c r="I162" s="341"/>
      <c r="J162" s="341"/>
      <c r="K162" s="341"/>
      <c r="L162" s="341"/>
      <c r="M162" s="341" t="s">
        <v>319</v>
      </c>
      <c r="N162" s="341"/>
      <c r="O162" s="341" t="s">
        <v>319</v>
      </c>
      <c r="P162" s="342"/>
      <c r="Q162" s="341"/>
      <c r="R162" s="341" t="s">
        <v>319</v>
      </c>
      <c r="S162" s="52" t="s">
        <v>320</v>
      </c>
      <c r="T162" s="52" t="s">
        <v>319</v>
      </c>
      <c r="U162" s="52" t="s">
        <v>319</v>
      </c>
      <c r="V162" s="342"/>
      <c r="W162" s="52" t="s">
        <v>319</v>
      </c>
      <c r="X162" s="52" t="s">
        <v>319</v>
      </c>
      <c r="Y162" s="52" t="s">
        <v>319</v>
      </c>
      <c r="Z162" s="52"/>
      <c r="AA162" s="53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3"/>
      <c r="AP162" s="47"/>
      <c r="AQ162" s="53">
        <f t="shared" si="50"/>
        <v>0</v>
      </c>
      <c r="AR162" s="51"/>
      <c r="AS162" s="359">
        <f t="shared" si="48"/>
        <v>0</v>
      </c>
    </row>
    <row r="163" spans="1:47" s="36" customFormat="1" ht="15.75" x14ac:dyDescent="0.25">
      <c r="A163" s="113" t="s">
        <v>210</v>
      </c>
      <c r="B163" s="114" t="s">
        <v>211</v>
      </c>
      <c r="C163" s="52" t="s">
        <v>165</v>
      </c>
      <c r="D163" s="445" t="s">
        <v>165</v>
      </c>
      <c r="E163" s="445"/>
      <c r="F163" s="52" t="s">
        <v>165</v>
      </c>
      <c r="G163" s="52" t="s">
        <v>165</v>
      </c>
      <c r="H163" s="341"/>
      <c r="I163" s="341"/>
      <c r="J163" s="341"/>
      <c r="K163" s="341"/>
      <c r="L163" s="341"/>
      <c r="M163" s="341" t="s">
        <v>165</v>
      </c>
      <c r="N163" s="341"/>
      <c r="O163" s="341" t="s">
        <v>165</v>
      </c>
      <c r="P163" s="342"/>
      <c r="Q163" s="341"/>
      <c r="R163" s="341" t="s">
        <v>165</v>
      </c>
      <c r="S163" s="52" t="s">
        <v>320</v>
      </c>
      <c r="T163" s="52" t="s">
        <v>165</v>
      </c>
      <c r="U163" s="52" t="s">
        <v>165</v>
      </c>
      <c r="V163" s="342"/>
      <c r="W163" s="52" t="s">
        <v>165</v>
      </c>
      <c r="X163" s="52" t="s">
        <v>165</v>
      </c>
      <c r="Y163" s="52" t="s">
        <v>165</v>
      </c>
      <c r="Z163" s="52"/>
      <c r="AA163" s="86"/>
      <c r="AB163" s="58"/>
      <c r="AC163" s="58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47"/>
      <c r="AQ163" s="53">
        <f t="shared" si="50"/>
        <v>0</v>
      </c>
      <c r="AR163" s="51"/>
      <c r="AS163" s="359">
        <f t="shared" si="48"/>
        <v>0</v>
      </c>
    </row>
    <row r="164" spans="1:47" s="36" customFormat="1" ht="15.75" x14ac:dyDescent="0.25">
      <c r="A164" s="113" t="s">
        <v>475</v>
      </c>
      <c r="B164" s="114" t="s">
        <v>655</v>
      </c>
      <c r="C164" s="52" t="s">
        <v>165</v>
      </c>
      <c r="D164" s="445" t="s">
        <v>165</v>
      </c>
      <c r="E164" s="445"/>
      <c r="F164" s="52" t="s">
        <v>165</v>
      </c>
      <c r="G164" s="52" t="s">
        <v>165</v>
      </c>
      <c r="H164" s="341" t="s">
        <v>320</v>
      </c>
      <c r="I164" s="341"/>
      <c r="J164" s="341"/>
      <c r="K164" s="341" t="s">
        <v>319</v>
      </c>
      <c r="L164" s="341" t="s">
        <v>319</v>
      </c>
      <c r="M164" s="341" t="s">
        <v>319</v>
      </c>
      <c r="N164" s="341" t="s">
        <v>319</v>
      </c>
      <c r="O164" s="341" t="s">
        <v>319</v>
      </c>
      <c r="P164" s="342"/>
      <c r="Q164" s="341" t="s">
        <v>319</v>
      </c>
      <c r="R164" s="341" t="s">
        <v>319</v>
      </c>
      <c r="S164" s="52" t="s">
        <v>320</v>
      </c>
      <c r="T164" s="52" t="s">
        <v>319</v>
      </c>
      <c r="U164" s="52" t="s">
        <v>319</v>
      </c>
      <c r="V164" s="50" t="s">
        <v>319</v>
      </c>
      <c r="W164" s="52" t="s">
        <v>319</v>
      </c>
      <c r="X164" s="52" t="s">
        <v>319</v>
      </c>
      <c r="Y164" s="52" t="s">
        <v>319</v>
      </c>
      <c r="Z164" s="52"/>
      <c r="AA164" s="53"/>
      <c r="AB164" s="53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3"/>
      <c r="AP164" s="47"/>
      <c r="AQ164" s="53">
        <f t="shared" si="50"/>
        <v>0</v>
      </c>
      <c r="AR164" s="51"/>
      <c r="AS164" s="359">
        <f t="shared" si="48"/>
        <v>0</v>
      </c>
    </row>
    <row r="165" spans="1:47" s="36" customFormat="1" ht="15.75" x14ac:dyDescent="0.25">
      <c r="A165" s="113" t="s">
        <v>398</v>
      </c>
      <c r="B165" s="113" t="s">
        <v>703</v>
      </c>
      <c r="C165" s="394" t="s">
        <v>664</v>
      </c>
      <c r="D165" s="445" t="s">
        <v>45</v>
      </c>
      <c r="E165" s="455"/>
      <c r="F165" s="390" t="s">
        <v>702</v>
      </c>
      <c r="G165" s="52" t="s">
        <v>623</v>
      </c>
      <c r="H165" s="341" t="s">
        <v>320</v>
      </c>
      <c r="I165" s="458" t="s">
        <v>834</v>
      </c>
      <c r="J165" s="458"/>
      <c r="K165" s="341">
        <v>44592</v>
      </c>
      <c r="L165" s="341"/>
      <c r="M165" s="341" t="s">
        <v>319</v>
      </c>
      <c r="N165" s="341" t="s">
        <v>319</v>
      </c>
      <c r="O165" s="341" t="s">
        <v>319</v>
      </c>
      <c r="P165" s="342"/>
      <c r="Q165" s="341" t="s">
        <v>319</v>
      </c>
      <c r="R165" s="341" t="s">
        <v>319</v>
      </c>
      <c r="S165" s="52" t="s">
        <v>320</v>
      </c>
      <c r="T165" s="52" t="s">
        <v>319</v>
      </c>
      <c r="U165" s="52" t="s">
        <v>319</v>
      </c>
      <c r="V165" s="50" t="s">
        <v>319</v>
      </c>
      <c r="W165" s="52" t="s">
        <v>319</v>
      </c>
      <c r="X165" s="52" t="s">
        <v>319</v>
      </c>
      <c r="Y165" s="52" t="s">
        <v>319</v>
      </c>
      <c r="Z165" s="52"/>
      <c r="AA165" s="53">
        <v>2400000</v>
      </c>
      <c r="AB165" s="53"/>
      <c r="AC165" s="58"/>
      <c r="AD165" s="58"/>
      <c r="AE165" s="58"/>
      <c r="AF165" s="58"/>
      <c r="AG165" s="58"/>
      <c r="AH165" s="275">
        <v>250000</v>
      </c>
      <c r="AI165" s="275">
        <v>250000</v>
      </c>
      <c r="AJ165" s="275">
        <v>250000</v>
      </c>
      <c r="AK165" s="275">
        <v>250000</v>
      </c>
      <c r="AL165" s="275">
        <v>250000</v>
      </c>
      <c r="AM165" s="275">
        <v>250000</v>
      </c>
      <c r="AN165" s="275">
        <v>250000</v>
      </c>
      <c r="AO165" s="275">
        <f>125000+525000</f>
        <v>650000</v>
      </c>
      <c r="AP165" s="47"/>
      <c r="AQ165" s="53">
        <f t="shared" si="50"/>
        <v>2400000</v>
      </c>
      <c r="AR165" s="51"/>
      <c r="AS165" s="359">
        <f t="shared" si="48"/>
        <v>0</v>
      </c>
    </row>
    <row r="166" spans="1:47" s="36" customFormat="1" ht="15.75" x14ac:dyDescent="0.25">
      <c r="A166" s="104" t="s">
        <v>337</v>
      </c>
      <c r="B166" s="105" t="s">
        <v>422</v>
      </c>
      <c r="C166" s="52" t="s">
        <v>319</v>
      </c>
      <c r="D166" s="445" t="s">
        <v>319</v>
      </c>
      <c r="E166" s="445"/>
      <c r="F166" s="87" t="s">
        <v>319</v>
      </c>
      <c r="G166" s="87" t="s">
        <v>319</v>
      </c>
      <c r="H166" s="341"/>
      <c r="I166" s="341"/>
      <c r="J166" s="341"/>
      <c r="K166" s="341"/>
      <c r="L166" s="341"/>
      <c r="M166" s="341" t="s">
        <v>319</v>
      </c>
      <c r="N166" s="341"/>
      <c r="O166" s="341" t="s">
        <v>319</v>
      </c>
      <c r="P166" s="342"/>
      <c r="Q166" s="341"/>
      <c r="R166" s="341" t="s">
        <v>319</v>
      </c>
      <c r="S166" s="87" t="s">
        <v>320</v>
      </c>
      <c r="T166" s="52" t="s">
        <v>319</v>
      </c>
      <c r="U166" s="52" t="s">
        <v>319</v>
      </c>
      <c r="V166" s="342"/>
      <c r="W166" s="52" t="s">
        <v>319</v>
      </c>
      <c r="X166" s="52" t="s">
        <v>319</v>
      </c>
      <c r="Y166" s="52" t="s">
        <v>319</v>
      </c>
      <c r="Z166" s="52"/>
      <c r="AA166" s="181">
        <v>37392</v>
      </c>
      <c r="AB166" s="58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47"/>
      <c r="AQ166" s="53">
        <f t="shared" si="50"/>
        <v>0</v>
      </c>
      <c r="AR166" s="51"/>
      <c r="AS166" s="359">
        <f t="shared" si="48"/>
        <v>-37392</v>
      </c>
    </row>
    <row r="167" spans="1:47" s="36" customFormat="1" ht="15.75" x14ac:dyDescent="0.25">
      <c r="A167" s="283" t="s">
        <v>340</v>
      </c>
      <c r="B167" s="56" t="s">
        <v>429</v>
      </c>
      <c r="C167" s="52" t="s">
        <v>319</v>
      </c>
      <c r="D167" s="445" t="s">
        <v>319</v>
      </c>
      <c r="E167" s="445"/>
      <c r="F167" s="87" t="s">
        <v>319</v>
      </c>
      <c r="G167" s="87" t="s">
        <v>319</v>
      </c>
      <c r="H167" s="341"/>
      <c r="I167" s="341"/>
      <c r="J167" s="341"/>
      <c r="K167" s="341"/>
      <c r="L167" s="341"/>
      <c r="M167" s="341" t="s">
        <v>319</v>
      </c>
      <c r="N167" s="341"/>
      <c r="O167" s="341" t="s">
        <v>319</v>
      </c>
      <c r="P167" s="342"/>
      <c r="Q167" s="341"/>
      <c r="R167" s="341" t="s">
        <v>319</v>
      </c>
      <c r="S167" s="52" t="s">
        <v>320</v>
      </c>
      <c r="T167" s="52" t="s">
        <v>319</v>
      </c>
      <c r="U167" s="87" t="s">
        <v>319</v>
      </c>
      <c r="V167" s="342"/>
      <c r="W167" s="52" t="s">
        <v>319</v>
      </c>
      <c r="X167" s="52" t="s">
        <v>319</v>
      </c>
      <c r="Y167" s="52" t="s">
        <v>319</v>
      </c>
      <c r="Z167" s="52"/>
      <c r="AA167" s="182">
        <v>3575</v>
      </c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3"/>
      <c r="AP167" s="47"/>
      <c r="AQ167" s="53">
        <f t="shared" si="50"/>
        <v>0</v>
      </c>
      <c r="AR167" s="51"/>
      <c r="AS167" s="359">
        <f t="shared" si="48"/>
        <v>-3575</v>
      </c>
    </row>
    <row r="168" spans="1:47" s="36" customFormat="1" ht="15.75" x14ac:dyDescent="0.25">
      <c r="A168" s="93"/>
      <c r="B168" s="94"/>
      <c r="C168" s="91"/>
      <c r="D168" s="445"/>
      <c r="E168" s="471"/>
      <c r="F168" s="94"/>
      <c r="G168" s="91"/>
      <c r="H168" s="91"/>
      <c r="I168" s="436"/>
      <c r="J168" s="436"/>
      <c r="K168" s="91"/>
      <c r="L168" s="91"/>
      <c r="M168" s="91"/>
      <c r="N168" s="91"/>
      <c r="O168" s="91"/>
      <c r="P168" s="92"/>
      <c r="Q168" s="91"/>
      <c r="R168" s="92"/>
      <c r="S168" s="91"/>
      <c r="T168" s="91"/>
      <c r="U168" s="91"/>
      <c r="V168" s="92"/>
      <c r="W168" s="92"/>
      <c r="X168" s="92"/>
      <c r="Y168" s="92"/>
      <c r="Z168" s="92"/>
      <c r="AA168" s="243">
        <f t="shared" ref="AA168:AO168" si="51">SUM(AA137:AA167)</f>
        <v>6157896.9000000004</v>
      </c>
      <c r="AB168" s="243"/>
      <c r="AC168" s="243">
        <f t="shared" si="51"/>
        <v>0</v>
      </c>
      <c r="AD168" s="243">
        <f t="shared" si="51"/>
        <v>0</v>
      </c>
      <c r="AE168" s="243">
        <f t="shared" si="51"/>
        <v>125000</v>
      </c>
      <c r="AF168" s="243">
        <f t="shared" si="51"/>
        <v>125000</v>
      </c>
      <c r="AG168" s="243">
        <f t="shared" si="51"/>
        <v>125000</v>
      </c>
      <c r="AH168" s="243">
        <f t="shared" si="51"/>
        <v>355000</v>
      </c>
      <c r="AI168" s="243">
        <f t="shared" si="51"/>
        <v>250000</v>
      </c>
      <c r="AJ168" s="243">
        <f t="shared" si="51"/>
        <v>250000</v>
      </c>
      <c r="AK168" s="243">
        <f t="shared" si="51"/>
        <v>250000</v>
      </c>
      <c r="AL168" s="243">
        <f t="shared" si="51"/>
        <v>250000</v>
      </c>
      <c r="AM168" s="243">
        <f t="shared" si="51"/>
        <v>450000</v>
      </c>
      <c r="AN168" s="243">
        <f t="shared" si="51"/>
        <v>250000</v>
      </c>
      <c r="AO168" s="243">
        <f t="shared" si="51"/>
        <v>650000</v>
      </c>
      <c r="AP168" s="47"/>
      <c r="AQ168" s="53">
        <f t="shared" si="50"/>
        <v>3080000</v>
      </c>
      <c r="AR168" s="51"/>
      <c r="AS168" s="359">
        <f t="shared" si="48"/>
        <v>-3077896.9000000004</v>
      </c>
    </row>
    <row r="169" spans="1:47" s="78" customFormat="1" ht="15.75" x14ac:dyDescent="0.25">
      <c r="A169"/>
      <c r="B169"/>
      <c r="C169" s="74"/>
      <c r="D169" s="445"/>
      <c r="E169" s="470"/>
      <c r="F169"/>
      <c r="G169" s="74"/>
      <c r="H169" s="74"/>
      <c r="I169" s="74"/>
      <c r="J169" s="74"/>
      <c r="K169" s="74"/>
      <c r="L169" s="74"/>
      <c r="M169" s="295"/>
      <c r="N169" s="295"/>
      <c r="O169" s="295"/>
      <c r="P169" s="296"/>
      <c r="Q169" s="295"/>
      <c r="R169" s="296"/>
      <c r="S169" s="74"/>
      <c r="T169" s="74"/>
      <c r="U169" s="74"/>
      <c r="V169" s="296"/>
      <c r="W169" s="38"/>
      <c r="X169" s="38"/>
      <c r="Y169" s="38"/>
      <c r="Z169" s="38"/>
      <c r="AB169" s="278"/>
      <c r="AC169" s="278"/>
      <c r="AD169" s="278"/>
      <c r="AE169" s="278"/>
      <c r="AF169" s="278"/>
      <c r="AG169" s="278"/>
      <c r="AH169" s="278"/>
      <c r="AI169" s="278"/>
      <c r="AJ169" s="278"/>
      <c r="AK169" s="278"/>
      <c r="AL169" s="278"/>
      <c r="AM169" s="278"/>
      <c r="AN169" s="278"/>
      <c r="AO169" s="130"/>
      <c r="AP169" s="47"/>
      <c r="AR169" s="79"/>
      <c r="AS169" s="361"/>
    </row>
    <row r="170" spans="1:47" s="78" customFormat="1" ht="15.75" x14ac:dyDescent="0.25">
      <c r="A170"/>
      <c r="B170"/>
      <c r="C170" s="74"/>
      <c r="D170" s="445"/>
      <c r="E170" s="470"/>
      <c r="F170"/>
      <c r="G170" s="74"/>
      <c r="H170" s="74"/>
      <c r="I170" s="74"/>
      <c r="J170" s="74"/>
      <c r="K170" s="74"/>
      <c r="L170" s="74"/>
      <c r="M170" s="295"/>
      <c r="N170" s="295"/>
      <c r="O170" s="295"/>
      <c r="P170" s="296"/>
      <c r="Q170" s="295"/>
      <c r="R170" s="296"/>
      <c r="S170" s="74"/>
      <c r="T170" s="74"/>
      <c r="U170" s="74"/>
      <c r="V170" s="296"/>
      <c r="W170" s="38"/>
      <c r="X170" s="38"/>
      <c r="Y170" s="38"/>
      <c r="Z170" s="38"/>
      <c r="AB170" s="277"/>
      <c r="AC170" s="277"/>
      <c r="AD170" s="277"/>
      <c r="AE170" s="277"/>
      <c r="AF170" s="277"/>
      <c r="AG170" s="277"/>
      <c r="AH170" s="277"/>
      <c r="AI170" s="277"/>
      <c r="AJ170" s="277"/>
      <c r="AK170" s="277"/>
      <c r="AL170" s="277"/>
      <c r="AM170" s="277"/>
      <c r="AN170" s="277"/>
      <c r="AP170" s="47"/>
      <c r="AR170" s="79"/>
      <c r="AS170" s="361"/>
    </row>
    <row r="171" spans="1:47" s="78" customFormat="1" ht="15.75" x14ac:dyDescent="0.25">
      <c r="A171"/>
      <c r="B171"/>
      <c r="C171" s="74"/>
      <c r="D171" s="445"/>
      <c r="E171" s="470"/>
      <c r="F171"/>
      <c r="G171" s="74"/>
      <c r="H171" s="74"/>
      <c r="I171" s="74"/>
      <c r="J171" s="74"/>
      <c r="K171" s="74"/>
      <c r="L171" s="74"/>
      <c r="M171" s="295"/>
      <c r="N171" s="295"/>
      <c r="O171" s="295"/>
      <c r="P171" s="296"/>
      <c r="Q171" s="295"/>
      <c r="R171" s="296"/>
      <c r="S171" s="74"/>
      <c r="T171" s="74"/>
      <c r="U171" s="74"/>
      <c r="V171" s="296"/>
      <c r="W171" s="38"/>
      <c r="X171" s="38"/>
      <c r="Y171" s="38"/>
      <c r="Z171" s="38"/>
      <c r="AB171" s="277"/>
      <c r="AC171" s="277"/>
      <c r="AD171" s="277"/>
      <c r="AE171" s="277"/>
      <c r="AF171" s="277"/>
      <c r="AG171" s="277"/>
      <c r="AH171" s="277"/>
      <c r="AI171" s="277"/>
      <c r="AJ171" s="277"/>
      <c r="AK171" s="277"/>
      <c r="AL171" s="277"/>
      <c r="AM171" s="277"/>
      <c r="AN171" s="277"/>
      <c r="AP171" s="47"/>
      <c r="AR171" s="79"/>
      <c r="AS171" s="361"/>
    </row>
    <row r="172" spans="1:47" s="78" customFormat="1" ht="15.75" x14ac:dyDescent="0.25">
      <c r="A172"/>
      <c r="B172"/>
      <c r="C172" s="74"/>
      <c r="D172" s="445"/>
      <c r="E172" s="470"/>
      <c r="F172"/>
      <c r="G172" s="74"/>
      <c r="H172" s="74"/>
      <c r="I172" s="74"/>
      <c r="J172" s="74"/>
      <c r="K172" s="74"/>
      <c r="L172" s="74"/>
      <c r="M172" s="295"/>
      <c r="N172" s="295"/>
      <c r="O172" s="295"/>
      <c r="P172" s="296"/>
      <c r="Q172" s="295"/>
      <c r="R172" s="296"/>
      <c r="S172" s="74"/>
      <c r="T172" s="74"/>
      <c r="U172" s="74"/>
      <c r="V172" s="296"/>
      <c r="W172" s="38"/>
      <c r="X172" s="38"/>
      <c r="Y172" s="38"/>
      <c r="Z172" s="38"/>
      <c r="AB172" s="277"/>
      <c r="AC172" s="277"/>
      <c r="AD172" s="277"/>
      <c r="AE172" s="277"/>
      <c r="AF172" s="277"/>
      <c r="AG172" s="277"/>
      <c r="AH172" s="277"/>
      <c r="AI172" s="277"/>
      <c r="AJ172" s="277"/>
      <c r="AK172" s="277"/>
      <c r="AL172" s="277"/>
      <c r="AM172" s="277"/>
      <c r="AN172" s="277"/>
      <c r="AP172" s="47"/>
      <c r="AR172" s="79"/>
      <c r="AS172" s="361"/>
    </row>
    <row r="173" spans="1:47" s="78" customFormat="1" ht="15.75" x14ac:dyDescent="0.25">
      <c r="A173"/>
      <c r="B173"/>
      <c r="C173" s="74"/>
      <c r="D173" s="445"/>
      <c r="E173" s="470"/>
      <c r="F173"/>
      <c r="G173" s="74"/>
      <c r="H173" s="74"/>
      <c r="I173" s="74"/>
      <c r="J173" s="74"/>
      <c r="K173" s="74"/>
      <c r="L173" s="74"/>
      <c r="M173" s="295"/>
      <c r="N173" s="295"/>
      <c r="O173" s="295"/>
      <c r="P173" s="296"/>
      <c r="Q173" s="295"/>
      <c r="R173" s="296"/>
      <c r="S173" s="74"/>
      <c r="T173" s="74"/>
      <c r="U173" s="74"/>
      <c r="V173" s="296"/>
      <c r="W173" s="38"/>
      <c r="X173" s="38"/>
      <c r="Y173" s="38"/>
      <c r="Z173" s="38"/>
      <c r="AB173" s="277"/>
      <c r="AC173" s="277"/>
      <c r="AD173" s="277"/>
      <c r="AE173" s="277"/>
      <c r="AF173" s="277"/>
      <c r="AG173" s="277"/>
      <c r="AH173" s="277"/>
      <c r="AI173" s="277"/>
      <c r="AJ173" s="277"/>
      <c r="AK173" s="277"/>
      <c r="AL173" s="277"/>
      <c r="AM173" s="277"/>
      <c r="AN173" s="277"/>
      <c r="AP173" s="47"/>
      <c r="AR173" s="79"/>
      <c r="AS173" s="361"/>
    </row>
    <row r="174" spans="1:47" s="78" customFormat="1" ht="15.75" x14ac:dyDescent="0.25">
      <c r="A174"/>
      <c r="B174"/>
      <c r="C174" s="74"/>
      <c r="D174" s="445"/>
      <c r="E174" s="470"/>
      <c r="F174"/>
      <c r="G174" s="74"/>
      <c r="H174" s="74"/>
      <c r="I174" s="74"/>
      <c r="J174" s="74"/>
      <c r="K174" s="74"/>
      <c r="L174" s="74"/>
      <c r="M174" s="295"/>
      <c r="N174" s="295"/>
      <c r="O174" s="295"/>
      <c r="P174" s="296"/>
      <c r="Q174" s="295"/>
      <c r="R174" s="296"/>
      <c r="S174" s="74"/>
      <c r="T174" s="74"/>
      <c r="U174" s="74"/>
      <c r="V174" s="296"/>
      <c r="W174" s="38"/>
      <c r="X174" s="38"/>
      <c r="Y174" s="38"/>
      <c r="Z174" s="38"/>
      <c r="AB174" s="277"/>
      <c r="AC174" s="277"/>
      <c r="AD174" s="277"/>
      <c r="AE174" s="277"/>
      <c r="AF174" s="277"/>
      <c r="AG174" s="277"/>
      <c r="AH174" s="277"/>
      <c r="AI174" s="277"/>
      <c r="AJ174" s="277"/>
      <c r="AK174" s="277"/>
      <c r="AL174" s="277"/>
      <c r="AM174" s="277"/>
      <c r="AN174" s="277"/>
      <c r="AP174" s="47"/>
      <c r="AR174" s="79"/>
      <c r="AS174" s="361"/>
    </row>
    <row r="175" spans="1:47" s="78" customFormat="1" x14ac:dyDescent="0.25">
      <c r="A175"/>
      <c r="B175"/>
      <c r="C175" s="74"/>
      <c r="D175" s="445"/>
      <c r="E175" s="470"/>
      <c r="F175"/>
      <c r="G175" s="74"/>
      <c r="H175" s="74"/>
      <c r="I175" s="74"/>
      <c r="J175" s="74"/>
      <c r="K175" s="74"/>
      <c r="L175" s="74"/>
      <c r="M175" s="295"/>
      <c r="N175" s="295"/>
      <c r="O175" s="295"/>
      <c r="P175" s="296"/>
      <c r="Q175" s="295"/>
      <c r="R175" s="296"/>
      <c r="S175" s="74"/>
      <c r="T175" s="74"/>
      <c r="U175" s="74"/>
      <c r="V175" s="296"/>
      <c r="W175" s="38"/>
      <c r="X175" s="38"/>
      <c r="Y175" s="38"/>
      <c r="Z175" s="38"/>
      <c r="AB175" s="277"/>
      <c r="AC175" s="277"/>
      <c r="AD175" s="277"/>
      <c r="AE175" s="277"/>
      <c r="AF175" s="277"/>
      <c r="AG175" s="277"/>
      <c r="AH175" s="277"/>
      <c r="AI175" s="277"/>
      <c r="AJ175" s="277"/>
      <c r="AK175" s="277"/>
      <c r="AL175" s="277"/>
      <c r="AM175" s="277"/>
      <c r="AN175" s="277"/>
      <c r="AP175" s="79"/>
      <c r="AR175" s="79"/>
      <c r="AS175" s="361"/>
    </row>
    <row r="176" spans="1:47" s="78" customFormat="1" x14ac:dyDescent="0.25">
      <c r="A176"/>
      <c r="B176"/>
      <c r="C176" s="74"/>
      <c r="D176" s="445"/>
      <c r="E176" s="470"/>
      <c r="F176"/>
      <c r="G176" s="74"/>
      <c r="H176" s="74"/>
      <c r="I176" s="74"/>
      <c r="J176" s="74"/>
      <c r="K176" s="74"/>
      <c r="L176" s="74"/>
      <c r="M176" s="295"/>
      <c r="N176" s="295"/>
      <c r="O176" s="295"/>
      <c r="P176" s="296"/>
      <c r="Q176" s="295"/>
      <c r="R176" s="296"/>
      <c r="S176" s="74"/>
      <c r="T176" s="74"/>
      <c r="U176" s="74"/>
      <c r="V176" s="296"/>
      <c r="W176" s="38"/>
      <c r="X176" s="38"/>
      <c r="Y176" s="38"/>
      <c r="Z176" s="38"/>
      <c r="AB176" s="277"/>
      <c r="AC176" s="277"/>
      <c r="AD176" s="277"/>
      <c r="AE176" s="277"/>
      <c r="AF176" s="277"/>
      <c r="AG176" s="277"/>
      <c r="AH176" s="277"/>
      <c r="AI176" s="277"/>
      <c r="AJ176" s="277"/>
      <c r="AK176" s="277"/>
      <c r="AL176" s="277"/>
      <c r="AM176" s="277"/>
      <c r="AN176" s="277"/>
      <c r="AP176" s="79"/>
      <c r="AR176" s="79"/>
      <c r="AS176" s="361"/>
    </row>
  </sheetData>
  <protectedRanges>
    <protectedRange algorithmName="SHA-512" hashValue="p1zaDFJkdjN+AnmfzFBjbFKRbWYOQQg+cT1DzqDhOzloqO83qQsI/t5kPN30lmEEP3guKkM4uc2fEPeaztRBYA==" saltValue="+Rl2QHA+Wv31lMWEuJdOoQ==" spinCount="100000" sqref="L24:P24" name="Nolan_21"/>
    <protectedRange algorithmName="SHA-512" hashValue="7kKMQlnDQnaF2pWl7cOum7Q4v5K+/RuncQjNwOX/9VMC6IpRzPVvdGKHyOugwdH0ncs0E84+2rLp7ry6I8ErdA==" saltValue="jtLfJTgX02XzBGTPnDDc1A==" spinCount="100000" sqref="F68" name="Peggy_1"/>
    <protectedRange algorithmName="SHA-512" hashValue="p1zaDFJkdjN+AnmfzFBjbFKRbWYOQQg+cT1DzqDhOzloqO83qQsI/t5kPN30lmEEP3guKkM4uc2fEPeaztRBYA==" saltValue="+Rl2QHA+Wv31lMWEuJdOoQ==" spinCount="100000" sqref="L68:O68 M69:M70 Q68" name="Nolan"/>
    <protectedRange algorithmName="SHA-512" hashValue="7kKMQlnDQnaF2pWl7cOum7Q4v5K+/RuncQjNwOX/9VMC6IpRzPVvdGKHyOugwdH0ncs0E84+2rLp7ry6I8ErdA==" saltValue="jtLfJTgX02XzBGTPnDDc1A==" spinCount="100000" sqref="F69" name="Peggy_3"/>
    <protectedRange algorithmName="SHA-512" hashValue="p1zaDFJkdjN+AnmfzFBjbFKRbWYOQQg+cT1DzqDhOzloqO83qQsI/t5kPN30lmEEP3guKkM4uc2fEPeaztRBYA==" saltValue="+Rl2QHA+Wv31lMWEuJdOoQ==" spinCount="100000" sqref="L69 N69:O69 Q69" name="Nolan_2"/>
    <protectedRange algorithmName="SHA-512" hashValue="p1zaDFJkdjN+AnmfzFBjbFKRbWYOQQg+cT1DzqDhOzloqO83qQsI/t5kPN30lmEEP3guKkM4uc2fEPeaztRBYA==" saltValue="+Rl2QHA+Wv31lMWEuJdOoQ==" spinCount="100000" sqref="M6:Q6" name="Nolan_13_1"/>
    <protectedRange algorithmName="SHA-512" hashValue="p1zaDFJkdjN+AnmfzFBjbFKRbWYOQQg+cT1DzqDhOzloqO83qQsI/t5kPN30lmEEP3guKkM4uc2fEPeaztRBYA==" saltValue="+Rl2QHA+Wv31lMWEuJdOoQ==" spinCount="100000" sqref="O22:P22 O41:P41" name="Nolan_3"/>
  </protectedRanges>
  <autoFilter ref="A2:AU108" xr:uid="{03440E11-61FF-4873-A9FE-40198335FF64}"/>
  <sortState xmlns:xlrd2="http://schemas.microsoft.com/office/spreadsheetml/2017/richdata2" ref="A52:AU97">
    <sortCondition ref="A52:A97"/>
  </sortState>
  <mergeCells count="1">
    <mergeCell ref="AC1:AN1"/>
  </mergeCells>
  <phoneticPr fontId="5" type="noConversion"/>
  <conditionalFormatting sqref="AQ137:AQ146 AQ8:AQ9 AQ149:AQ167 AQ48:AQ50 AQ70:AQ71 AQ59:AQ68 AQ4:AQ5 AQ75:AQ76 AQ52:AQ57 AQ11:AQ14 AQ79:AQ97 AQ73 AQ99:AQ108 AQ16:AQ46">
    <cfRule type="cellIs" dxfId="757" priority="296" operator="lessThan">
      <formula>AA4</formula>
    </cfRule>
    <cfRule type="cellIs" dxfId="756" priority="297" operator="greaterThan">
      <formula>AA4</formula>
    </cfRule>
    <cfRule type="cellIs" dxfId="755" priority="298" operator="equal">
      <formula>AA4</formula>
    </cfRule>
  </conditionalFormatting>
  <conditionalFormatting sqref="S126:S128 S130:S133 S169:S1048576 S137:S140 S142:S167 H53:H57 H71 H63:H68 H75:H76 H3:H12 H34:H39 H42:H49 S53:S76 S79:S120 S2:S51 H16:H24">
    <cfRule type="cellIs" dxfId="754" priority="294" operator="equal">
      <formula>"no"</formula>
    </cfRule>
    <cfRule type="cellIs" dxfId="753" priority="295" operator="equal">
      <formula>"yes"</formula>
    </cfRule>
  </conditionalFormatting>
  <conditionalFormatting sqref="AA137:AA140 AA69 AA142:AA167 AA29:AA50 AB40 AA73 AA79:AA108 AA17:AA27">
    <cfRule type="cellIs" dxfId="752" priority="291" operator="equal">
      <formula>0</formula>
    </cfRule>
  </conditionalFormatting>
  <conditionalFormatting sqref="R74 T163:U163 T145:U145 T50:V50 T137:U142 M16:N16 W145:Z145 W163:Z163 W137:Z142 W166:Z167 T166:U167 K13:P14 C143:C144 C139:C140 F30:H30 S1 T164:Z165 O15:R16 M17:R17 M18:P19 R79:R81 G79:H79 G59:H63 F58:H58 F69:H70 K11:L12 O11:P12 Q11:R14 M11:N14 F15:H15 F31:G32 F5:H5 F1:H2 F53:G57 K43:R48 F72:H74 K66:K71 F71:G71 K53:O58 F75:G76 F3:G14 K1:R10 K35:R38 F52:F79 Q18:R51 Q52:Q81 F25:H26 F27:G29 L66:O70 O71 C79:C83 X50:Z50 K20:P51 C150:C167 C56:E56 C74:E74 F33:H51 F63:G68 N75:O76 C75:D76 E75:E78 C89:H91 F80:H86 C85:C88 K72:O73 D79:E86 C73:H73 K74:M78 M60 M62 N59:O63 K59:L63 K103:R1048576 C92:C108 D87:H1048576 K79:O102 K63:O65 Q75:R76 Q53:R73 K15:L19 F16:G24 C3:C51 D1:E51 Q82:R102">
    <cfRule type="cellIs" dxfId="751" priority="290" operator="equal">
      <formula>"TBD"</formula>
    </cfRule>
  </conditionalFormatting>
  <conditionalFormatting sqref="AB113:AO113">
    <cfRule type="cellIs" dxfId="750" priority="270" operator="equal">
      <formula>0</formula>
    </cfRule>
    <cfRule type="cellIs" dxfId="749" priority="288" operator="lessThan">
      <formula>0</formula>
    </cfRule>
    <cfRule type="cellIs" dxfId="748" priority="289" operator="greaterThan">
      <formula>0</formula>
    </cfRule>
  </conditionalFormatting>
  <conditionalFormatting sqref="S121:S125">
    <cfRule type="cellIs" dxfId="747" priority="286" operator="equal">
      <formula>"no"</formula>
    </cfRule>
    <cfRule type="cellIs" dxfId="746" priority="287" operator="equal">
      <formula>"yes"</formula>
    </cfRule>
  </conditionalFormatting>
  <conditionalFormatting sqref="AB121:AB122 AB129 AB134:AB168 AS136:AS168 AS53:AS76 AS79:AS111 AS3:AS51">
    <cfRule type="cellIs" dxfId="745" priority="284" operator="lessThan">
      <formula>0</formula>
    </cfRule>
    <cfRule type="cellIs" dxfId="744" priority="285" operator="greaterThan">
      <formula>0</formula>
    </cfRule>
  </conditionalFormatting>
  <conditionalFormatting sqref="S129">
    <cfRule type="cellIs" dxfId="743" priority="282" operator="equal">
      <formula>"no"</formula>
    </cfRule>
    <cfRule type="cellIs" dxfId="742" priority="283" operator="equal">
      <formula>"yes"</formula>
    </cfRule>
  </conditionalFormatting>
  <conditionalFormatting sqref="S134:S168">
    <cfRule type="cellIs" dxfId="741" priority="278" operator="equal">
      <formula>"no"</formula>
    </cfRule>
    <cfRule type="cellIs" dxfId="740" priority="279" operator="equal">
      <formula>"yes"</formula>
    </cfRule>
  </conditionalFormatting>
  <conditionalFormatting sqref="S3:S6 S13:S14">
    <cfRule type="cellIs" dxfId="739" priority="265" operator="equal">
      <formula>"no"</formula>
    </cfRule>
    <cfRule type="cellIs" dxfId="738" priority="266" operator="equal">
      <formula>"yes"</formula>
    </cfRule>
  </conditionalFormatting>
  <conditionalFormatting sqref="K3:R6">
    <cfRule type="cellIs" dxfId="737" priority="263" operator="equal">
      <formula>"TBD"</formula>
    </cfRule>
  </conditionalFormatting>
  <conditionalFormatting sqref="AQ147">
    <cfRule type="cellIs" dxfId="736" priority="260" operator="lessThan">
      <formula>AA147</formula>
    </cfRule>
    <cfRule type="cellIs" dxfId="735" priority="261" operator="greaterThan">
      <formula>AA147</formula>
    </cfRule>
    <cfRule type="cellIs" dxfId="734" priority="262" operator="equal">
      <formula>AA147</formula>
    </cfRule>
  </conditionalFormatting>
  <conditionalFormatting sqref="S81:S83">
    <cfRule type="cellIs" dxfId="733" priority="258" operator="equal">
      <formula>"no"</formula>
    </cfRule>
    <cfRule type="cellIs" dxfId="732" priority="259" operator="equal">
      <formula>"yes"</formula>
    </cfRule>
  </conditionalFormatting>
  <conditionalFormatting sqref="G83:G85 O81:O82 K81:M82 R81:R85">
    <cfRule type="cellIs" dxfId="731" priority="257" operator="equal">
      <formula>"TBD"</formula>
    </cfRule>
  </conditionalFormatting>
  <conditionalFormatting sqref="S85">
    <cfRule type="cellIs" dxfId="730" priority="255" operator="equal">
      <formula>"no"</formula>
    </cfRule>
    <cfRule type="cellIs" dxfId="729" priority="256" operator="equal">
      <formula>"yes"</formula>
    </cfRule>
  </conditionalFormatting>
  <conditionalFormatting sqref="O85 R85 K85:M85">
    <cfRule type="cellIs" dxfId="728" priority="254" operator="equal">
      <formula>"TBD"</formula>
    </cfRule>
  </conditionalFormatting>
  <conditionalFormatting sqref="S13:S14">
    <cfRule type="cellIs" dxfId="727" priority="252" operator="equal">
      <formula>"no"</formula>
    </cfRule>
    <cfRule type="cellIs" dxfId="726" priority="253" operator="equal">
      <formula>"yes"</formula>
    </cfRule>
  </conditionalFormatting>
  <conditionalFormatting sqref="K3:R6">
    <cfRule type="cellIs" dxfId="725" priority="251" operator="equal">
      <formula>"TBD"</formula>
    </cfRule>
  </conditionalFormatting>
  <conditionalFormatting sqref="F63 M63 O63 Q63">
    <cfRule type="cellIs" dxfId="724" priority="250" operator="equal">
      <formula>"TBD"</formula>
    </cfRule>
  </conditionalFormatting>
  <conditionalFormatting sqref="S58">
    <cfRule type="cellIs" dxfId="723" priority="245" operator="equal">
      <formula>"no"</formula>
    </cfRule>
    <cfRule type="cellIs" dxfId="722" priority="246" operator="equal">
      <formula>"yes"</formula>
    </cfRule>
  </conditionalFormatting>
  <conditionalFormatting sqref="R74 T50:V50 M16:N16 F142:F1048576 T137:U163 W166:Z167 T166:U167 K13:P14 F30:H30 G141:H1048576 S1 T164:Z165 W137:Z163 O15:R16 M17:R17 M18:P19 R79:R81 G79:H79 G59:H63 F58:H58 F69:H70 K11:L12 O11:P12 Q11:R14 M11:N14 F31:G32 F5:H5 K43:R48 F15:H15 F72:H74 K66:K71 F71:G71 K53:O58 F75:G76 F3:G14 K1:R10 K35:R38 F52:F79 Q18:R51 Q52:Q81 F25:H26 F27:G29 L66:O70 O71 X50:Z50 K20:P51 F53:G57 F1:H2 F159:G159 F33:H51 F63:G68 N75:O76 D84:E84 C75:D76 E75:E78 C79:E83 K72:O73 C73:H73 K74:M78 M60 M62 N59:O63 K59:L63 C53:E74 K103:R1048576 C85:E1048576 F80:H140 K79:O102 K63:O65 Q75:R76 Q53:R73 K15:L19 F16:G24 C1:E51 Q82:R102">
    <cfRule type="containsText" dxfId="721" priority="243" operator="containsText" text="DEAD">
      <formula>NOT(ISERROR(SEARCH("DEAD",C1)))</formula>
    </cfRule>
    <cfRule type="containsText" dxfId="720" priority="244" operator="containsText" text="HOLD">
      <formula>NOT(ISERROR(SEARCH("HOLD",C1)))</formula>
    </cfRule>
  </conditionalFormatting>
  <conditionalFormatting sqref="O68 M68:M70 Q68:R68">
    <cfRule type="cellIs" dxfId="719" priority="241" operator="equal">
      <formula>"TBD"</formula>
    </cfRule>
  </conditionalFormatting>
  <conditionalFormatting sqref="M69 O69 Q69:R69">
    <cfRule type="cellIs" dxfId="718" priority="239" operator="equal">
      <formula>"TBD"</formula>
    </cfRule>
  </conditionalFormatting>
  <conditionalFormatting sqref="F59:F63 M59:M63">
    <cfRule type="cellIs" dxfId="717" priority="238" operator="equal">
      <formula>"TBD"</formula>
    </cfRule>
  </conditionalFormatting>
  <conditionalFormatting sqref="F59:F63 M59:M63">
    <cfRule type="containsText" dxfId="716" priority="236" operator="containsText" text="DEAD">
      <formula>NOT(ISERROR(SEARCH("DEAD",F59)))</formula>
    </cfRule>
    <cfRule type="containsText" dxfId="715" priority="237" operator="containsText" text="HOLD">
      <formula>NOT(ISERROR(SEARCH("HOLD",F59)))</formula>
    </cfRule>
  </conditionalFormatting>
  <conditionalFormatting sqref="S136">
    <cfRule type="cellIs" dxfId="714" priority="234" operator="equal">
      <formula>"no"</formula>
    </cfRule>
    <cfRule type="cellIs" dxfId="713" priority="235" operator="equal">
      <formula>"yes"</formula>
    </cfRule>
  </conditionalFormatting>
  <conditionalFormatting sqref="AQ168">
    <cfRule type="cellIs" dxfId="712" priority="231" operator="lessThan">
      <formula>AA168</formula>
    </cfRule>
    <cfRule type="cellIs" dxfId="711" priority="232" operator="greaterThan">
      <formula>AA168</formula>
    </cfRule>
    <cfRule type="cellIs" dxfId="710" priority="233" operator="equal">
      <formula>AA168</formula>
    </cfRule>
  </conditionalFormatting>
  <conditionalFormatting sqref="S168">
    <cfRule type="cellIs" dxfId="709" priority="229" operator="equal">
      <formula>"no"</formula>
    </cfRule>
    <cfRule type="cellIs" dxfId="708" priority="230" operator="equal">
      <formula>"yes"</formula>
    </cfRule>
  </conditionalFormatting>
  <conditionalFormatting sqref="T137:U138 T140:U145 W137:Z138 W140:Z145 F137:H140 K137:R140 F143:H145 K143:R145 C137:C145">
    <cfRule type="cellIs" dxfId="707" priority="228" operator="equal">
      <formula>"SOLD"</formula>
    </cfRule>
  </conditionalFormatting>
  <conditionalFormatting sqref="T139:U139 G141:H142 W139:Z139 M141:R141 K141:L142">
    <cfRule type="cellIs" dxfId="706" priority="227" operator="equal">
      <formula>"SOLD"</formula>
    </cfRule>
  </conditionalFormatting>
  <conditionalFormatting sqref="U167">
    <cfRule type="cellIs" dxfId="705" priority="226" operator="equal">
      <formula>"TBD"</formula>
    </cfRule>
  </conditionalFormatting>
  <conditionalFormatting sqref="T149:U149">
    <cfRule type="cellIs" dxfId="704" priority="225" operator="equal">
      <formula>"TBD"</formula>
    </cfRule>
  </conditionalFormatting>
  <conditionalFormatting sqref="T149:U149">
    <cfRule type="containsText" dxfId="703" priority="223" operator="containsText" text="DEAD">
      <formula>NOT(ISERROR(SEARCH("DEAD",T149)))</formula>
    </cfRule>
    <cfRule type="containsText" dxfId="702" priority="224" operator="containsText" text="HOLD">
      <formula>NOT(ISERROR(SEARCH("HOLD",T149)))</formula>
    </cfRule>
  </conditionalFormatting>
  <conditionalFormatting sqref="AA142">
    <cfRule type="cellIs" dxfId="701" priority="218" operator="equal">
      <formula>0</formula>
    </cfRule>
  </conditionalFormatting>
  <conditionalFormatting sqref="M15:N15">
    <cfRule type="cellIs" dxfId="700" priority="204" operator="equal">
      <formula>"TBD"</formula>
    </cfRule>
  </conditionalFormatting>
  <conditionalFormatting sqref="M15:N15">
    <cfRule type="containsText" dxfId="699" priority="202" operator="containsText" text="DEAD">
      <formula>NOT(ISERROR(SEARCH("DEAD",M15)))</formula>
    </cfRule>
    <cfRule type="containsText" dxfId="698" priority="203" operator="containsText" text="HOLD">
      <formula>NOT(ISERROR(SEARCH("HOLD",M15)))</formula>
    </cfRule>
  </conditionalFormatting>
  <conditionalFormatting sqref="AQ74">
    <cfRule type="cellIs" dxfId="697" priority="199" operator="lessThan">
      <formula>AA74</formula>
    </cfRule>
    <cfRule type="cellIs" dxfId="696" priority="200" operator="greaterThan">
      <formula>AA74</formula>
    </cfRule>
    <cfRule type="cellIs" dxfId="695" priority="201" operator="equal">
      <formula>AA74</formula>
    </cfRule>
  </conditionalFormatting>
  <conditionalFormatting sqref="N74:O74 Q74">
    <cfRule type="cellIs" dxfId="694" priority="198" operator="equal">
      <formula>"TBD"</formula>
    </cfRule>
  </conditionalFormatting>
  <conditionalFormatting sqref="N74:O74 Q74">
    <cfRule type="containsText" dxfId="693" priority="196" operator="containsText" text="DEAD">
      <formula>NOT(ISERROR(SEARCH("DEAD",N74)))</formula>
    </cfRule>
    <cfRule type="containsText" dxfId="692" priority="197" operator="containsText" text="HOLD">
      <formula>NOT(ISERROR(SEARCH("HOLD",N74)))</formula>
    </cfRule>
  </conditionalFormatting>
  <conditionalFormatting sqref="W144 W151:W152 W142 W66:W68 W9 W53 W11:W13 W158:W162 W56 W71 W63 W4:W6 W75:W76 W42:W49 W27:W28 W31 W34:W39 X49:Z49 W73 W79:W107 W17:W24">
    <cfRule type="cellIs" dxfId="691" priority="195" operator="equal">
      <formula>0</formula>
    </cfRule>
  </conditionalFormatting>
  <conditionalFormatting sqref="W31">
    <cfRule type="cellIs" dxfId="690" priority="194" operator="equal">
      <formula>0</formula>
    </cfRule>
  </conditionalFormatting>
  <conditionalFormatting sqref="W84">
    <cfRule type="cellIs" dxfId="689" priority="193" operator="equal">
      <formula>0</formula>
    </cfRule>
  </conditionalFormatting>
  <conditionalFormatting sqref="W36">
    <cfRule type="cellIs" dxfId="688" priority="191" operator="equal">
      <formula>0</formula>
    </cfRule>
  </conditionalFormatting>
  <conditionalFormatting sqref="S141:S142">
    <cfRule type="cellIs" dxfId="687" priority="189" operator="equal">
      <formula>"no"</formula>
    </cfRule>
    <cfRule type="cellIs" dxfId="686" priority="190" operator="equal">
      <formula>"yes"</formula>
    </cfRule>
  </conditionalFormatting>
  <conditionalFormatting sqref="F141:F142 M142:R142">
    <cfRule type="cellIs" dxfId="685" priority="188" operator="equal">
      <formula>"TBD"</formula>
    </cfRule>
  </conditionalFormatting>
  <conditionalFormatting sqref="F141:F142 M142:R142">
    <cfRule type="containsText" dxfId="684" priority="186" operator="containsText" text="DEAD">
      <formula>NOT(ISERROR(SEARCH("DEAD",F141)))</formula>
    </cfRule>
    <cfRule type="containsText" dxfId="683" priority="187" operator="containsText" text="HOLD">
      <formula>NOT(ISERROR(SEARCH("HOLD",F141)))</formula>
    </cfRule>
  </conditionalFormatting>
  <conditionalFormatting sqref="AA141:AA142">
    <cfRule type="cellIs" dxfId="682" priority="185" operator="equal">
      <formula>0</formula>
    </cfRule>
  </conditionalFormatting>
  <conditionalFormatting sqref="M71 O71">
    <cfRule type="cellIs" dxfId="681" priority="184" operator="equal">
      <formula>"TBD"</formula>
    </cfRule>
  </conditionalFormatting>
  <conditionalFormatting sqref="M71 O71">
    <cfRule type="containsText" dxfId="680" priority="182" operator="containsText" text="DEAD">
      <formula>NOT(ISERROR(SEARCH("DEAD",M71)))</formula>
    </cfRule>
    <cfRule type="containsText" dxfId="679" priority="183" operator="containsText" text="HOLD">
      <formula>NOT(ISERROR(SEARCH("HOLD",M71)))</formula>
    </cfRule>
  </conditionalFormatting>
  <conditionalFormatting sqref="M142:R142">
    <cfRule type="cellIs" dxfId="678" priority="181" operator="equal">
      <formula>"SOLD"</formula>
    </cfRule>
  </conditionalFormatting>
  <conditionalFormatting sqref="V163 V145 V137:V142 V166:V167">
    <cfRule type="cellIs" dxfId="677" priority="180" operator="equal">
      <formula>"TBD"</formula>
    </cfRule>
  </conditionalFormatting>
  <conditionalFormatting sqref="V137:V163 V166:V167">
    <cfRule type="containsText" dxfId="676" priority="178" operator="containsText" text="DEAD">
      <formula>NOT(ISERROR(SEARCH("DEAD",V137)))</formula>
    </cfRule>
    <cfRule type="containsText" dxfId="675" priority="179" operator="containsText" text="HOLD">
      <formula>NOT(ISERROR(SEARCH("HOLD",V137)))</formula>
    </cfRule>
  </conditionalFormatting>
  <conditionalFormatting sqref="V137:V138 V140:V145">
    <cfRule type="cellIs" dxfId="674" priority="177" operator="equal">
      <formula>"SOLD"</formula>
    </cfRule>
  </conditionalFormatting>
  <conditionalFormatting sqref="V139">
    <cfRule type="cellIs" dxfId="673" priority="176" operator="equal">
      <formula>"SOLD"</formula>
    </cfRule>
  </conditionalFormatting>
  <conditionalFormatting sqref="V167">
    <cfRule type="cellIs" dxfId="672" priority="175" operator="equal">
      <formula>"TBD"</formula>
    </cfRule>
  </conditionalFormatting>
  <conditionalFormatting sqref="V149">
    <cfRule type="cellIs" dxfId="671" priority="174" operator="equal">
      <formula>"TBD"</formula>
    </cfRule>
  </conditionalFormatting>
  <conditionalFormatting sqref="V149">
    <cfRule type="containsText" dxfId="670" priority="172" operator="containsText" text="DEAD">
      <formula>NOT(ISERROR(SEARCH("DEAD",V149)))</formula>
    </cfRule>
    <cfRule type="containsText" dxfId="669" priority="173" operator="containsText" text="HOLD">
      <formula>NOT(ISERROR(SEARCH("HOLD",V149)))</formula>
    </cfRule>
  </conditionalFormatting>
  <conditionalFormatting sqref="Q3:Q6">
    <cfRule type="cellIs" dxfId="668" priority="171" operator="equal">
      <formula>"TBD"</formula>
    </cfRule>
  </conditionalFormatting>
  <conditionalFormatting sqref="L63">
    <cfRule type="cellIs" dxfId="667" priority="169" operator="equal">
      <formula>"TBD"</formula>
    </cfRule>
  </conditionalFormatting>
  <conditionalFormatting sqref="L68">
    <cfRule type="cellIs" dxfId="666" priority="165" operator="equal">
      <formula>"TBD"</formula>
    </cfRule>
  </conditionalFormatting>
  <conditionalFormatting sqref="L69">
    <cfRule type="cellIs" dxfId="665" priority="164" operator="equal">
      <formula>"TBD"</formula>
    </cfRule>
  </conditionalFormatting>
  <conditionalFormatting sqref="L71">
    <cfRule type="cellIs" dxfId="664" priority="163" operator="equal">
      <formula>"TBD"</formula>
    </cfRule>
  </conditionalFormatting>
  <conditionalFormatting sqref="L71">
    <cfRule type="containsText" dxfId="663" priority="161" operator="containsText" text="DEAD">
      <formula>NOT(ISERROR(SEARCH("DEAD",L71)))</formula>
    </cfRule>
    <cfRule type="containsText" dxfId="662" priority="162" operator="containsText" text="HOLD">
      <formula>NOT(ISERROR(SEARCH("HOLD",L71)))</formula>
    </cfRule>
  </conditionalFormatting>
  <conditionalFormatting sqref="N63">
    <cfRule type="cellIs" dxfId="661" priority="159" operator="equal">
      <formula>"TBD"</formula>
    </cfRule>
  </conditionalFormatting>
  <conditionalFormatting sqref="N68">
    <cfRule type="cellIs" dxfId="660" priority="155" operator="equal">
      <formula>"TBD"</formula>
    </cfRule>
  </conditionalFormatting>
  <conditionalFormatting sqref="N69">
    <cfRule type="cellIs" dxfId="659" priority="154" operator="equal">
      <formula>"TBD"</formula>
    </cfRule>
  </conditionalFormatting>
  <conditionalFormatting sqref="N71">
    <cfRule type="cellIs" dxfId="658" priority="153" operator="equal">
      <formula>"TBD"</formula>
    </cfRule>
  </conditionalFormatting>
  <conditionalFormatting sqref="N71">
    <cfRule type="containsText" dxfId="657" priority="151" operator="containsText" text="DEAD">
      <formula>NOT(ISERROR(SEARCH("DEAD",N71)))</formula>
    </cfRule>
    <cfRule type="containsText" dxfId="656" priority="152" operator="containsText" text="HOLD">
      <formula>NOT(ISERROR(SEARCH("HOLD",N71)))</formula>
    </cfRule>
  </conditionalFormatting>
  <conditionalFormatting sqref="N5">
    <cfRule type="cellIs" dxfId="655" priority="146" operator="equal">
      <formula>"TBD"</formula>
    </cfRule>
  </conditionalFormatting>
  <conditionalFormatting sqref="N81:N82">
    <cfRule type="cellIs" dxfId="654" priority="145" operator="equal">
      <formula>"TBD"</formula>
    </cfRule>
  </conditionalFormatting>
  <conditionalFormatting sqref="N85">
    <cfRule type="cellIs" dxfId="653" priority="144" operator="equal">
      <formula>"TBD"</formula>
    </cfRule>
  </conditionalFormatting>
  <conditionalFormatting sqref="N5">
    <cfRule type="containsText" dxfId="652" priority="142" operator="containsText" text="DEAD">
      <formula>NOT(ISERROR(SEARCH("DEAD",N5)))</formula>
    </cfRule>
    <cfRule type="containsText" dxfId="651" priority="143" operator="containsText" text="HOLD">
      <formula>NOT(ISERROR(SEARCH("HOLD",N5)))</formula>
    </cfRule>
  </conditionalFormatting>
  <conditionalFormatting sqref="H160 H30 K56 H164:H165 K164:R165 X164:Z165 H69:H70 K159:K160 H15 H25:H26 H33:H51 H72:H74 L74:M78 K73:K108 H79:H108 K3:K51">
    <cfRule type="cellIs" dxfId="650" priority="141" operator="equal">
      <formula>"No"</formula>
    </cfRule>
  </conditionalFormatting>
  <conditionalFormatting sqref="S83">
    <cfRule type="cellIs" dxfId="649" priority="138" operator="equal">
      <formula>"no"</formula>
    </cfRule>
    <cfRule type="cellIs" dxfId="648" priority="139" operator="equal">
      <formula>"yes"</formula>
    </cfRule>
  </conditionalFormatting>
  <conditionalFormatting sqref="S83">
    <cfRule type="cellIs" dxfId="647" priority="136" operator="equal">
      <formula>"no"</formula>
    </cfRule>
    <cfRule type="cellIs" dxfId="646" priority="137" operator="equal">
      <formula>"yes"</formula>
    </cfRule>
  </conditionalFormatting>
  <conditionalFormatting sqref="S47">
    <cfRule type="cellIs" dxfId="645" priority="134" operator="equal">
      <formula>"no"</formula>
    </cfRule>
    <cfRule type="cellIs" dxfId="644" priority="135" operator="equal">
      <formula>"yes"</formula>
    </cfRule>
  </conditionalFormatting>
  <conditionalFormatting sqref="AS47">
    <cfRule type="cellIs" dxfId="643" priority="132" operator="lessThan">
      <formula>0</formula>
    </cfRule>
    <cfRule type="cellIs" dxfId="642" priority="133" operator="greaterThan">
      <formula>0</formula>
    </cfRule>
  </conditionalFormatting>
  <conditionalFormatting sqref="H47">
    <cfRule type="cellIs" dxfId="641" priority="131" operator="equal">
      <formula>"No"</formula>
    </cfRule>
  </conditionalFormatting>
  <conditionalFormatting sqref="AQ147:AQ167 AQ4:AQ6 AQ75:AQ76">
    <cfRule type="cellIs" dxfId="640" priority="299" operator="greaterThan">
      <formula>$AA$50</formula>
    </cfRule>
    <cfRule type="cellIs" dxfId="639" priority="300" operator="lessThan">
      <formula>$AA$50</formula>
    </cfRule>
    <cfRule type="cellIs" dxfId="638" priority="301" operator="equal">
      <formula>$AA$50</formula>
    </cfRule>
    <cfRule type="cellIs" dxfId="637" priority="302" operator="equal">
      <formula>#REF!</formula>
    </cfRule>
  </conditionalFormatting>
  <conditionalFormatting sqref="H13:H14">
    <cfRule type="cellIs" dxfId="636" priority="121" operator="equal">
      <formula>"no"</formula>
    </cfRule>
    <cfRule type="cellIs" dxfId="635" priority="122" operator="equal">
      <formula>"yes"</formula>
    </cfRule>
  </conditionalFormatting>
  <conditionalFormatting sqref="H13:H14">
    <cfRule type="cellIs" dxfId="634" priority="119" operator="equal">
      <formula>"no"</formula>
    </cfRule>
    <cfRule type="cellIs" dxfId="633" priority="120" operator="equal">
      <formula>"yes"</formula>
    </cfRule>
  </conditionalFormatting>
  <conditionalFormatting sqref="H13:H14">
    <cfRule type="cellIs" dxfId="632" priority="117" operator="equal">
      <formula>"no"</formula>
    </cfRule>
    <cfRule type="cellIs" dxfId="631" priority="118" operator="equal">
      <formula>"yes"</formula>
    </cfRule>
  </conditionalFormatting>
  <conditionalFormatting sqref="H27:H29">
    <cfRule type="cellIs" dxfId="630" priority="115" operator="equal">
      <formula>"no"</formula>
    </cfRule>
    <cfRule type="cellIs" dxfId="629" priority="116" operator="equal">
      <formula>"yes"</formula>
    </cfRule>
  </conditionalFormatting>
  <conditionalFormatting sqref="H27:H29">
    <cfRule type="cellIs" dxfId="628" priority="113" operator="equal">
      <formula>"no"</formula>
    </cfRule>
    <cfRule type="cellIs" dxfId="627" priority="114" operator="equal">
      <formula>"yes"</formula>
    </cfRule>
  </conditionalFormatting>
  <conditionalFormatting sqref="H27:H29">
    <cfRule type="cellIs" dxfId="626" priority="111" operator="equal">
      <formula>"no"</formula>
    </cfRule>
    <cfRule type="cellIs" dxfId="625" priority="112" operator="equal">
      <formula>"yes"</formula>
    </cfRule>
  </conditionalFormatting>
  <conditionalFormatting sqref="AQ51">
    <cfRule type="cellIs" dxfId="624" priority="102" operator="lessThan">
      <formula>AA51</formula>
    </cfRule>
    <cfRule type="cellIs" dxfId="623" priority="103" operator="greaterThan">
      <formula>AA51</formula>
    </cfRule>
    <cfRule type="cellIs" dxfId="622" priority="104" operator="equal">
      <formula>AA51</formula>
    </cfRule>
  </conditionalFormatting>
  <conditionalFormatting sqref="AQ77">
    <cfRule type="cellIs" dxfId="621" priority="99" operator="lessThan">
      <formula>AA77</formula>
    </cfRule>
    <cfRule type="cellIs" dxfId="620" priority="100" operator="greaterThan">
      <formula>AA77</formula>
    </cfRule>
    <cfRule type="cellIs" dxfId="619" priority="101" operator="equal">
      <formula>AA77</formula>
    </cfRule>
  </conditionalFormatting>
  <conditionalFormatting sqref="S77">
    <cfRule type="cellIs" dxfId="618" priority="97" operator="equal">
      <formula>"no"</formula>
    </cfRule>
    <cfRule type="cellIs" dxfId="617" priority="98" operator="equal">
      <formula>"yes"</formula>
    </cfRule>
  </conditionalFormatting>
  <conditionalFormatting sqref="AA77">
    <cfRule type="cellIs" dxfId="616" priority="96" operator="equal">
      <formula>0</formula>
    </cfRule>
  </conditionalFormatting>
  <conditionalFormatting sqref="R77 G77:H77 C77:D77 N77:O77">
    <cfRule type="cellIs" dxfId="615" priority="95" operator="equal">
      <formula>"TBD"</formula>
    </cfRule>
  </conditionalFormatting>
  <conditionalFormatting sqref="AS77">
    <cfRule type="cellIs" dxfId="614" priority="93" operator="lessThan">
      <formula>0</formula>
    </cfRule>
    <cfRule type="cellIs" dxfId="613" priority="94" operator="greaterThan">
      <formula>0</formula>
    </cfRule>
  </conditionalFormatting>
  <conditionalFormatting sqref="R77 G77:H77 C77:D77 N77:O77">
    <cfRule type="containsText" dxfId="612" priority="91" operator="containsText" text="DEAD">
      <formula>NOT(ISERROR(SEARCH("DEAD",C77)))</formula>
    </cfRule>
    <cfRule type="containsText" dxfId="611" priority="92" operator="containsText" text="HOLD">
      <formula>NOT(ISERROR(SEARCH("HOLD",C77)))</formula>
    </cfRule>
  </conditionalFormatting>
  <conditionalFormatting sqref="W77">
    <cfRule type="cellIs" dxfId="610" priority="90" operator="equal">
      <formula>0</formula>
    </cfRule>
  </conditionalFormatting>
  <conditionalFormatting sqref="H77">
    <cfRule type="cellIs" dxfId="609" priority="89" operator="equal">
      <formula>"No"</formula>
    </cfRule>
  </conditionalFormatting>
  <conditionalFormatting sqref="S52:S76">
    <cfRule type="cellIs" dxfId="608" priority="84" operator="equal">
      <formula>"no"</formula>
    </cfRule>
    <cfRule type="cellIs" dxfId="607" priority="85" operator="equal">
      <formula>"yes"</formula>
    </cfRule>
  </conditionalFormatting>
  <conditionalFormatting sqref="AA52:AA76">
    <cfRule type="cellIs" dxfId="606" priority="83" operator="equal">
      <formula>0</formula>
    </cfRule>
  </conditionalFormatting>
  <conditionalFormatting sqref="G52:H76 N74:O76 K74:M78 C52:C76 R52:R76 K52:P52 K53:O73 P53:P102">
    <cfRule type="cellIs" dxfId="605" priority="82" operator="equal">
      <formula>"TBD"</formula>
    </cfRule>
  </conditionalFormatting>
  <conditionalFormatting sqref="AS52:AS76">
    <cfRule type="cellIs" dxfId="604" priority="80" operator="lessThan">
      <formula>0</formula>
    </cfRule>
    <cfRule type="cellIs" dxfId="603" priority="81" operator="greaterThan">
      <formula>0</formula>
    </cfRule>
  </conditionalFormatting>
  <conditionalFormatting sqref="G52:H76 N74:O76 K74:M78 C52:C76 R52:R76 K52:P52 K53:O73 P53:P102">
    <cfRule type="containsText" dxfId="602" priority="78" operator="containsText" text="DEAD">
      <formula>NOT(ISERROR(SEARCH("DEAD",C52)))</formula>
    </cfRule>
    <cfRule type="containsText" dxfId="601" priority="79" operator="containsText" text="HOLD">
      <formula>NOT(ISERROR(SEARCH("HOLD",C52)))</formula>
    </cfRule>
  </conditionalFormatting>
  <conditionalFormatting sqref="W52:W76">
    <cfRule type="cellIs" dxfId="600" priority="77" operator="equal">
      <formula>0</formula>
    </cfRule>
  </conditionalFormatting>
  <conditionalFormatting sqref="H52:H76 L74:M78 K52:K78">
    <cfRule type="cellIs" dxfId="599" priority="76" operator="equal">
      <formula>"No"</formula>
    </cfRule>
  </conditionalFormatting>
  <conditionalFormatting sqref="AQ98">
    <cfRule type="cellIs" dxfId="598" priority="73" operator="lessThan">
      <formula>AA98</formula>
    </cfRule>
    <cfRule type="cellIs" dxfId="597" priority="74" operator="greaterThan">
      <formula>AA98</formula>
    </cfRule>
    <cfRule type="cellIs" dxfId="596" priority="75" operator="equal">
      <formula>AA98</formula>
    </cfRule>
  </conditionalFormatting>
  <conditionalFormatting sqref="S98">
    <cfRule type="cellIs" dxfId="595" priority="71" operator="equal">
      <formula>"no"</formula>
    </cfRule>
    <cfRule type="cellIs" dxfId="594" priority="72" operator="equal">
      <formula>"yes"</formula>
    </cfRule>
  </conditionalFormatting>
  <conditionalFormatting sqref="AA98">
    <cfRule type="cellIs" dxfId="593" priority="70" operator="equal">
      <formula>0</formula>
    </cfRule>
  </conditionalFormatting>
  <conditionalFormatting sqref="K98:O98 R98 G98:H98 C98:E98">
    <cfRule type="cellIs" dxfId="592" priority="69" operator="equal">
      <formula>"TBD"</formula>
    </cfRule>
  </conditionalFormatting>
  <conditionalFormatting sqref="AS98">
    <cfRule type="cellIs" dxfId="591" priority="67" operator="lessThan">
      <formula>0</formula>
    </cfRule>
    <cfRule type="cellIs" dxfId="590" priority="68" operator="greaterThan">
      <formula>0</formula>
    </cfRule>
  </conditionalFormatting>
  <conditionalFormatting sqref="K98:O98 R98 G98:H98 C98:E98">
    <cfRule type="containsText" dxfId="589" priority="65" operator="containsText" text="DEAD">
      <formula>NOT(ISERROR(SEARCH("DEAD",C98)))</formula>
    </cfRule>
    <cfRule type="containsText" dxfId="588" priority="66" operator="containsText" text="HOLD">
      <formula>NOT(ISERROR(SEARCH("HOLD",C98)))</formula>
    </cfRule>
  </conditionalFormatting>
  <conditionalFormatting sqref="W98">
    <cfRule type="cellIs" dxfId="587" priority="64" operator="equal">
      <formula>0</formula>
    </cfRule>
  </conditionalFormatting>
  <conditionalFormatting sqref="K98">
    <cfRule type="cellIs" dxfId="586" priority="63" operator="equal">
      <formula>"No"</formula>
    </cfRule>
  </conditionalFormatting>
  <conditionalFormatting sqref="AQ78">
    <cfRule type="cellIs" dxfId="585" priority="60" operator="lessThan">
      <formula>AA78</formula>
    </cfRule>
    <cfRule type="cellIs" dxfId="584" priority="61" operator="greaterThan">
      <formula>AA78</formula>
    </cfRule>
    <cfRule type="cellIs" dxfId="583" priority="62" operator="equal">
      <formula>AA78</formula>
    </cfRule>
  </conditionalFormatting>
  <conditionalFormatting sqref="S78">
    <cfRule type="cellIs" dxfId="582" priority="58" operator="equal">
      <formula>"no"</formula>
    </cfRule>
    <cfRule type="cellIs" dxfId="581" priority="59" operator="equal">
      <formula>"yes"</formula>
    </cfRule>
  </conditionalFormatting>
  <conditionalFormatting sqref="AA78">
    <cfRule type="cellIs" dxfId="580" priority="57" operator="equal">
      <formula>0</formula>
    </cfRule>
  </conditionalFormatting>
  <conditionalFormatting sqref="R78 G78:H78 C78:D78 N78:O78">
    <cfRule type="cellIs" dxfId="579" priority="56" operator="equal">
      <formula>"TBD"</formula>
    </cfRule>
  </conditionalFormatting>
  <conditionalFormatting sqref="AS78">
    <cfRule type="cellIs" dxfId="578" priority="54" operator="lessThan">
      <formula>0</formula>
    </cfRule>
    <cfRule type="cellIs" dxfId="577" priority="55" operator="greaterThan">
      <formula>0</formula>
    </cfRule>
  </conditionalFormatting>
  <conditionalFormatting sqref="R78 G78:H78 C78:D78 N78:O78">
    <cfRule type="containsText" dxfId="576" priority="52" operator="containsText" text="DEAD">
      <formula>NOT(ISERROR(SEARCH("DEAD",C78)))</formula>
    </cfRule>
    <cfRule type="containsText" dxfId="575" priority="53" operator="containsText" text="HOLD">
      <formula>NOT(ISERROR(SEARCH("HOLD",C78)))</formula>
    </cfRule>
  </conditionalFormatting>
  <conditionalFormatting sqref="W78">
    <cfRule type="cellIs" dxfId="574" priority="51" operator="equal">
      <formula>0</formula>
    </cfRule>
  </conditionalFormatting>
  <conditionalFormatting sqref="H78">
    <cfRule type="cellIs" dxfId="573" priority="50" operator="equal">
      <formula>"No"</formula>
    </cfRule>
  </conditionalFormatting>
  <conditionalFormatting sqref="H159">
    <cfRule type="cellIs" dxfId="572" priority="48" operator="equal">
      <formula>"no"</formula>
    </cfRule>
    <cfRule type="cellIs" dxfId="571" priority="49" operator="equal">
      <formula>"yes"</formula>
    </cfRule>
  </conditionalFormatting>
  <conditionalFormatting sqref="H159">
    <cfRule type="cellIs" dxfId="570" priority="46" operator="equal">
      <formula>"no"</formula>
    </cfRule>
    <cfRule type="cellIs" dxfId="569" priority="47" operator="equal">
      <formula>"yes"</formula>
    </cfRule>
  </conditionalFormatting>
  <conditionalFormatting sqref="H159">
    <cfRule type="cellIs" dxfId="568" priority="44" operator="equal">
      <formula>"no"</formula>
    </cfRule>
    <cfRule type="cellIs" dxfId="567" priority="45" operator="equal">
      <formula>"yes"</formula>
    </cfRule>
  </conditionalFormatting>
  <conditionalFormatting sqref="H31:H32">
    <cfRule type="cellIs" dxfId="566" priority="42" operator="equal">
      <formula>"no"</formula>
    </cfRule>
    <cfRule type="cellIs" dxfId="565" priority="43" operator="equal">
      <formula>"yes"</formula>
    </cfRule>
  </conditionalFormatting>
  <conditionalFormatting sqref="H31:H32">
    <cfRule type="cellIs" dxfId="564" priority="40" operator="equal">
      <formula>"no"</formula>
    </cfRule>
    <cfRule type="cellIs" dxfId="563" priority="41" operator="equal">
      <formula>"yes"</formula>
    </cfRule>
  </conditionalFormatting>
  <conditionalFormatting sqref="H31:H32">
    <cfRule type="cellIs" dxfId="562" priority="38" operator="equal">
      <formula>"no"</formula>
    </cfRule>
    <cfRule type="cellIs" dxfId="561" priority="39" operator="equal">
      <formula>"yes"</formula>
    </cfRule>
  </conditionalFormatting>
  <conditionalFormatting sqref="H46">
    <cfRule type="cellIs" dxfId="560" priority="32" operator="equal">
      <formula>"no"</formula>
    </cfRule>
    <cfRule type="cellIs" dxfId="559" priority="33" operator="equal">
      <formula>"yes"</formula>
    </cfRule>
  </conditionalFormatting>
  <conditionalFormatting sqref="O71">
    <cfRule type="cellIs" dxfId="558" priority="19" operator="equal">
      <formula>"TBD"</formula>
    </cfRule>
  </conditionalFormatting>
  <conditionalFormatting sqref="K72:K73">
    <cfRule type="cellIs" dxfId="557" priority="18" operator="equal">
      <formula>"TBD"</formula>
    </cfRule>
  </conditionalFormatting>
  <conditionalFormatting sqref="O43:P43">
    <cfRule type="cellIs" dxfId="556" priority="17" operator="equal">
      <formula>"TBD"</formula>
    </cfRule>
  </conditionalFormatting>
  <conditionalFormatting sqref="O43:P43">
    <cfRule type="containsText" dxfId="555" priority="15" operator="containsText" text="DEAD">
      <formula>NOT(ISERROR(SEARCH("DEAD",O43)))</formula>
    </cfRule>
    <cfRule type="containsText" dxfId="554" priority="16" operator="containsText" text="HOLD">
      <formula>NOT(ISERROR(SEARCH("HOLD",O43)))</formula>
    </cfRule>
  </conditionalFormatting>
  <conditionalFormatting sqref="D109:E1048576">
    <cfRule type="cellIs" dxfId="553" priority="14" operator="equal">
      <formula>"TBD"</formula>
    </cfRule>
  </conditionalFormatting>
  <conditionalFormatting sqref="D109:E1048576">
    <cfRule type="containsText" dxfId="552" priority="12" operator="containsText" text="DEAD">
      <formula>NOT(ISERROR(SEARCH("DEAD",D109)))</formula>
    </cfRule>
    <cfRule type="containsText" dxfId="551" priority="13" operator="containsText" text="HOLD">
      <formula>NOT(ISERROR(SEARCH("HOLD",D109)))</formula>
    </cfRule>
  </conditionalFormatting>
  <conditionalFormatting sqref="D75:D76 E75:E78 D52:E74">
    <cfRule type="cellIs" dxfId="550" priority="11" operator="equal">
      <formula>"TBD"</formula>
    </cfRule>
  </conditionalFormatting>
  <conditionalFormatting sqref="D75:D76 E75:E78 D52:E74">
    <cfRule type="containsText" dxfId="549" priority="9" operator="containsText" text="DEAD">
      <formula>NOT(ISERROR(SEARCH("DEAD",D52)))</formula>
    </cfRule>
    <cfRule type="containsText" dxfId="548" priority="10" operator="containsText" text="HOLD">
      <formula>NOT(ISERROR(SEARCH("HOLD",D52)))</formula>
    </cfRule>
  </conditionalFormatting>
  <conditionalFormatting sqref="C84">
    <cfRule type="cellIs" dxfId="547" priority="8" operator="equal">
      <formula>"TBD"</formula>
    </cfRule>
  </conditionalFormatting>
  <conditionalFormatting sqref="C84">
    <cfRule type="containsText" dxfId="546" priority="6" operator="containsText" text="DEAD">
      <formula>NOT(ISERROR(SEARCH("DEAD",C84)))</formula>
    </cfRule>
    <cfRule type="containsText" dxfId="545" priority="7" operator="containsText" text="HOLD">
      <formula>NOT(ISERROR(SEARCH("HOLD",C84)))</formula>
    </cfRule>
  </conditionalFormatting>
  <conditionalFormatting sqref="H1:H1048576">
    <cfRule type="cellIs" dxfId="544" priority="2" operator="equal">
      <formula>"yes"</formula>
    </cfRule>
  </conditionalFormatting>
  <conditionalFormatting sqref="P4:P13 P27:P28 P31 P34:P39 P42:P49 P52:P108 P16:P24">
    <cfRule type="cellIs" dxfId="543" priority="1" operator="lessThan">
      <formula>8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2FA61-3956-4752-93F4-7BF49D76B2F9}">
  <dimension ref="A1:AU172"/>
  <sheetViews>
    <sheetView zoomScaleNormal="100" zoomScaleSheetLayoutView="85" workbookViewId="0">
      <pane xSplit="2" ySplit="2" topLeftCell="AQ12" activePane="bottomRight" state="frozen"/>
      <selection pane="topRight" activeCell="C1" sqref="C1"/>
      <selection pane="bottomLeft" activeCell="A3" sqref="A3"/>
      <selection pane="bottomRight" activeCell="AD98" sqref="AD98"/>
    </sheetView>
  </sheetViews>
  <sheetFormatPr defaultRowHeight="15" x14ac:dyDescent="0.25"/>
  <cols>
    <col min="1" max="1" width="12.42578125" customWidth="1"/>
    <col min="2" max="2" width="49" bestFit="1" customWidth="1"/>
    <col min="3" max="3" width="14.5703125" style="74" hidden="1" customWidth="1"/>
    <col min="4" max="4" width="14.5703125" style="91" hidden="1" customWidth="1"/>
    <col min="5" max="5" width="14.5703125" style="507" customWidth="1"/>
    <col min="6" max="6" width="46.5703125" hidden="1" customWidth="1"/>
    <col min="7" max="8" width="16.5703125" style="74" hidden="1" customWidth="1"/>
    <col min="9" max="9" width="36.5703125" style="74" hidden="1" customWidth="1"/>
    <col min="10" max="10" width="14.5703125" style="74" hidden="1" customWidth="1"/>
    <col min="11" max="12" width="13.5703125" style="74" hidden="1" customWidth="1"/>
    <col min="13" max="15" width="13.5703125" style="295" hidden="1" customWidth="1"/>
    <col min="16" max="16" width="13.5703125" style="296" hidden="1" customWidth="1"/>
    <col min="17" max="17" width="13.5703125" style="295" hidden="1" customWidth="1"/>
    <col min="18" max="18" width="13.5703125" style="296" hidden="1" customWidth="1"/>
    <col min="19" max="19" width="11.5703125" style="74" hidden="1" customWidth="1"/>
    <col min="20" max="20" width="13.5703125" style="74" customWidth="1"/>
    <col min="21" max="21" width="12.5703125" style="74" customWidth="1"/>
    <col min="22" max="22" width="12.5703125" style="296" customWidth="1"/>
    <col min="23" max="23" width="16.5703125" style="38" customWidth="1"/>
    <col min="24" max="26" width="16.5703125" style="38" hidden="1" customWidth="1"/>
    <col min="27" max="27" width="18.5703125" style="78" hidden="1" customWidth="1"/>
    <col min="28" max="28" width="19.5703125" style="277" customWidth="1"/>
    <col min="29" max="40" width="18.42578125" style="277" customWidth="1"/>
    <col min="41" max="41" width="16.5703125" style="78" customWidth="1"/>
    <col min="42" max="42" width="3.42578125" style="79" customWidth="1"/>
    <col min="43" max="43" width="17.42578125" style="78" customWidth="1"/>
    <col min="44" max="44" width="3.42578125" style="79" customWidth="1"/>
    <col min="45" max="45" width="17.5703125" style="361" customWidth="1"/>
    <col min="46" max="46" width="76.5703125" customWidth="1"/>
    <col min="47" max="47" width="10.5703125" bestFit="1" customWidth="1"/>
  </cols>
  <sheetData>
    <row r="1" spans="1:47" s="36" customFormat="1" ht="20.100000000000001" customHeight="1" x14ac:dyDescent="0.25">
      <c r="A1" s="437" t="s">
        <v>858</v>
      </c>
      <c r="B1" s="437" t="s">
        <v>453</v>
      </c>
      <c r="C1" s="437" t="s">
        <v>455</v>
      </c>
      <c r="D1" s="437" t="s">
        <v>859</v>
      </c>
      <c r="E1" s="437" t="s">
        <v>908</v>
      </c>
      <c r="F1" s="437" t="s">
        <v>454</v>
      </c>
      <c r="G1" s="437" t="s">
        <v>455</v>
      </c>
      <c r="H1" s="437" t="s">
        <v>457</v>
      </c>
      <c r="I1" s="437" t="s">
        <v>454</v>
      </c>
      <c r="J1" s="437" t="s">
        <v>857</v>
      </c>
      <c r="K1" s="437" t="s">
        <v>857</v>
      </c>
      <c r="L1" s="437" t="s">
        <v>457</v>
      </c>
      <c r="M1" s="318" t="s">
        <v>457</v>
      </c>
      <c r="N1" s="318" t="s">
        <v>457</v>
      </c>
      <c r="O1" s="318" t="s">
        <v>457</v>
      </c>
      <c r="P1" s="331" t="s">
        <v>908</v>
      </c>
      <c r="Q1" s="318" t="s">
        <v>457</v>
      </c>
      <c r="R1" s="318" t="s">
        <v>457</v>
      </c>
      <c r="S1" s="318" t="s">
        <v>457</v>
      </c>
      <c r="T1" s="437" t="s">
        <v>455</v>
      </c>
      <c r="U1" s="437" t="s">
        <v>455</v>
      </c>
      <c r="V1" s="331" t="s">
        <v>455</v>
      </c>
      <c r="W1" s="331" t="s">
        <v>455</v>
      </c>
      <c r="X1" s="331" t="s">
        <v>453</v>
      </c>
      <c r="Y1" s="331" t="s">
        <v>453</v>
      </c>
      <c r="Z1" s="438" t="s">
        <v>457</v>
      </c>
      <c r="AA1" s="438" t="s">
        <v>457</v>
      </c>
      <c r="AB1" s="456"/>
      <c r="AC1" s="530">
        <v>2022</v>
      </c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282">
        <v>2023</v>
      </c>
      <c r="AP1" s="42"/>
      <c r="AQ1" s="41"/>
      <c r="AR1" s="42"/>
      <c r="AS1" s="357"/>
    </row>
    <row r="2" spans="1:47" s="292" customFormat="1" ht="47.25" x14ac:dyDescent="0.25">
      <c r="A2" s="284" t="s">
        <v>614</v>
      </c>
      <c r="B2" s="285" t="s">
        <v>613</v>
      </c>
      <c r="C2" s="286" t="s">
        <v>342</v>
      </c>
      <c r="D2" s="286" t="s">
        <v>343</v>
      </c>
      <c r="E2" s="419" t="s">
        <v>888</v>
      </c>
      <c r="F2" s="285" t="s">
        <v>612</v>
      </c>
      <c r="G2" s="286" t="s">
        <v>12</v>
      </c>
      <c r="H2" s="286" t="s">
        <v>792</v>
      </c>
      <c r="I2" s="419" t="s">
        <v>801</v>
      </c>
      <c r="J2" s="419" t="s">
        <v>889</v>
      </c>
      <c r="K2" s="286" t="s">
        <v>796</v>
      </c>
      <c r="L2" s="286" t="s">
        <v>780</v>
      </c>
      <c r="M2" s="294" t="s">
        <v>781</v>
      </c>
      <c r="N2" s="286" t="s">
        <v>782</v>
      </c>
      <c r="O2" s="294" t="s">
        <v>783</v>
      </c>
      <c r="P2" s="287" t="s">
        <v>907</v>
      </c>
      <c r="Q2" s="286" t="s">
        <v>861</v>
      </c>
      <c r="R2" s="287" t="s">
        <v>785</v>
      </c>
      <c r="S2" s="286" t="s">
        <v>620</v>
      </c>
      <c r="T2" s="286" t="s">
        <v>345</v>
      </c>
      <c r="U2" s="286" t="s">
        <v>346</v>
      </c>
      <c r="V2" s="287" t="s">
        <v>899</v>
      </c>
      <c r="W2" s="287" t="s">
        <v>898</v>
      </c>
      <c r="X2" s="287" t="s">
        <v>644</v>
      </c>
      <c r="Y2" s="287" t="s">
        <v>645</v>
      </c>
      <c r="Z2" s="287" t="s">
        <v>860</v>
      </c>
      <c r="AA2" s="82" t="s">
        <v>802</v>
      </c>
      <c r="AB2" s="288" t="s">
        <v>870</v>
      </c>
      <c r="AC2" s="82" t="s">
        <v>749</v>
      </c>
      <c r="AD2" s="82" t="s">
        <v>750</v>
      </c>
      <c r="AE2" s="82" t="s">
        <v>751</v>
      </c>
      <c r="AF2" s="82" t="s">
        <v>752</v>
      </c>
      <c r="AG2" s="82" t="s">
        <v>753</v>
      </c>
      <c r="AH2" s="82" t="s">
        <v>754</v>
      </c>
      <c r="AI2" s="82" t="s">
        <v>755</v>
      </c>
      <c r="AJ2" s="82" t="s">
        <v>756</v>
      </c>
      <c r="AK2" s="82" t="s">
        <v>758</v>
      </c>
      <c r="AL2" s="82" t="s">
        <v>757</v>
      </c>
      <c r="AM2" s="82" t="s">
        <v>759</v>
      </c>
      <c r="AN2" s="82" t="s">
        <v>760</v>
      </c>
      <c r="AO2" s="289" t="s">
        <v>628</v>
      </c>
      <c r="AP2" s="290"/>
      <c r="AQ2" s="82" t="s">
        <v>365</v>
      </c>
      <c r="AR2" s="290"/>
      <c r="AS2" s="358" t="s">
        <v>366</v>
      </c>
      <c r="AT2" s="291" t="s">
        <v>547</v>
      </c>
    </row>
    <row r="3" spans="1:47" s="36" customFormat="1" ht="15.75" x14ac:dyDescent="0.25">
      <c r="A3" s="381" t="s">
        <v>27</v>
      </c>
      <c r="B3" s="106"/>
      <c r="C3" s="102" t="s">
        <v>886</v>
      </c>
      <c r="D3" s="102"/>
      <c r="E3" s="102"/>
      <c r="F3" s="381"/>
      <c r="G3" s="102"/>
      <c r="H3" s="102"/>
      <c r="I3" s="102"/>
      <c r="J3" s="102"/>
      <c r="K3" s="102"/>
      <c r="L3" s="102"/>
      <c r="M3" s="276"/>
      <c r="N3" s="276"/>
      <c r="O3" s="276"/>
      <c r="P3" s="84"/>
      <c r="Q3" s="276"/>
      <c r="R3" s="84"/>
      <c r="S3" s="102"/>
      <c r="T3" s="102"/>
      <c r="U3" s="102"/>
      <c r="V3" s="84"/>
      <c r="W3" s="102"/>
      <c r="X3" s="102"/>
      <c r="Y3" s="102"/>
      <c r="Z3" s="102"/>
      <c r="AA3" s="102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47"/>
      <c r="AQ3" s="103"/>
      <c r="AR3" s="51"/>
      <c r="AS3" s="357"/>
    </row>
    <row r="4" spans="1:47" s="36" customFormat="1" ht="15.75" x14ac:dyDescent="0.25">
      <c r="A4" s="34" t="s">
        <v>166</v>
      </c>
      <c r="B4" s="35" t="s">
        <v>168</v>
      </c>
      <c r="C4" s="52" t="s">
        <v>886</v>
      </c>
      <c r="D4" s="52" t="s">
        <v>401</v>
      </c>
      <c r="E4" s="422" t="s">
        <v>24</v>
      </c>
      <c r="F4" s="35" t="s">
        <v>169</v>
      </c>
      <c r="G4" s="52" t="s">
        <v>46</v>
      </c>
      <c r="H4" s="52" t="s">
        <v>370</v>
      </c>
      <c r="I4" s="422" t="s">
        <v>808</v>
      </c>
      <c r="J4" s="422"/>
      <c r="K4" s="330" t="s">
        <v>370</v>
      </c>
      <c r="L4" s="52">
        <v>44243</v>
      </c>
      <c r="M4" s="330">
        <v>44243</v>
      </c>
      <c r="N4" s="52">
        <v>44302</v>
      </c>
      <c r="O4" s="330">
        <v>44302</v>
      </c>
      <c r="P4" s="333" t="e">
        <f>O4-K4</f>
        <v>#VALUE!</v>
      </c>
      <c r="Q4" s="50">
        <f t="shared" ref="Q4:R13" si="0">N4-L4</f>
        <v>59</v>
      </c>
      <c r="R4" s="333">
        <f t="shared" si="0"/>
        <v>59</v>
      </c>
      <c r="S4" s="52" t="s">
        <v>370</v>
      </c>
      <c r="T4" s="330">
        <v>44319</v>
      </c>
      <c r="U4" s="347">
        <v>44571</v>
      </c>
      <c r="V4" s="50">
        <v>8.3720930232558146</v>
      </c>
      <c r="W4" s="50">
        <f t="shared" ref="W4:W13" si="1">((U4-T4)/7)/4.3</f>
        <v>8.3720930232558146</v>
      </c>
      <c r="X4" s="50"/>
      <c r="Y4" s="50"/>
      <c r="Z4" s="50" t="s">
        <v>370</v>
      </c>
      <c r="AA4" s="182">
        <v>1181869.7</v>
      </c>
      <c r="AB4" s="211">
        <v>1013323.8300000001</v>
      </c>
      <c r="AC4" s="115">
        <v>59705.08</v>
      </c>
      <c r="AD4" s="115">
        <v>0</v>
      </c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3"/>
      <c r="AP4" s="47"/>
      <c r="AQ4" s="53">
        <f t="shared" ref="AQ4:AQ13" si="2">SUM(AB4:AP4)</f>
        <v>1073028.9100000001</v>
      </c>
      <c r="AR4" s="51"/>
      <c r="AS4" s="357">
        <f t="shared" ref="AS4:AS14" si="3">AQ4-AA4</f>
        <v>-108840.7899999998</v>
      </c>
      <c r="AT4" s="36" t="s">
        <v>748</v>
      </c>
    </row>
    <row r="5" spans="1:47" s="36" customFormat="1" ht="15.75" x14ac:dyDescent="0.25">
      <c r="A5" s="319" t="s">
        <v>170</v>
      </c>
      <c r="B5" s="320" t="s">
        <v>621</v>
      </c>
      <c r="C5" s="321" t="s">
        <v>886</v>
      </c>
      <c r="D5" s="321" t="s">
        <v>402</v>
      </c>
      <c r="E5" s="428" t="s">
        <v>24</v>
      </c>
      <c r="F5" s="320" t="s">
        <v>172</v>
      </c>
      <c r="G5" s="321" t="s">
        <v>46</v>
      </c>
      <c r="H5" s="52" t="s">
        <v>370</v>
      </c>
      <c r="I5" s="428" t="s">
        <v>173</v>
      </c>
      <c r="J5" s="428"/>
      <c r="K5" s="332" t="s">
        <v>370</v>
      </c>
      <c r="L5" s="321">
        <v>44201</v>
      </c>
      <c r="M5" s="332">
        <v>44201</v>
      </c>
      <c r="N5" s="321">
        <v>44302</v>
      </c>
      <c r="O5" s="332">
        <v>44302</v>
      </c>
      <c r="P5" s="343" t="e">
        <f t="shared" ref="P5:P13" si="4">O5-K5</f>
        <v>#VALUE!</v>
      </c>
      <c r="Q5" s="322">
        <f t="shared" si="0"/>
        <v>101</v>
      </c>
      <c r="R5" s="343">
        <f t="shared" si="0"/>
        <v>101</v>
      </c>
      <c r="S5" s="321" t="s">
        <v>370</v>
      </c>
      <c r="T5" s="332">
        <v>44415</v>
      </c>
      <c r="U5" s="332">
        <v>44586</v>
      </c>
      <c r="V5" s="322">
        <v>5.1827242524916945</v>
      </c>
      <c r="W5" s="322">
        <f t="shared" si="1"/>
        <v>5.6810631229235877</v>
      </c>
      <c r="X5" s="322"/>
      <c r="Y5" s="322"/>
      <c r="Z5" s="322" t="s">
        <v>370</v>
      </c>
      <c r="AA5" s="323">
        <v>1051400.45</v>
      </c>
      <c r="AB5" s="211">
        <v>987033.51</v>
      </c>
      <c r="AC5" s="115">
        <v>64366.94</v>
      </c>
      <c r="AD5" s="115">
        <v>0</v>
      </c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3"/>
      <c r="AP5" s="47"/>
      <c r="AQ5" s="53">
        <f t="shared" si="2"/>
        <v>1051400.45</v>
      </c>
      <c r="AR5" s="51"/>
      <c r="AS5" s="357">
        <f t="shared" si="3"/>
        <v>0</v>
      </c>
      <c r="AU5" s="55"/>
    </row>
    <row r="6" spans="1:47" s="36" customFormat="1" ht="15.75" x14ac:dyDescent="0.25">
      <c r="A6" s="34" t="s">
        <v>174</v>
      </c>
      <c r="B6" s="34" t="s">
        <v>175</v>
      </c>
      <c r="C6" s="52" t="s">
        <v>886</v>
      </c>
      <c r="D6" s="52" t="s">
        <v>401</v>
      </c>
      <c r="E6" s="52" t="s">
        <v>24</v>
      </c>
      <c r="F6" s="34" t="s">
        <v>172</v>
      </c>
      <c r="G6" s="52" t="s">
        <v>46</v>
      </c>
      <c r="H6" s="52" t="s">
        <v>370</v>
      </c>
      <c r="I6" s="52" t="s">
        <v>808</v>
      </c>
      <c r="J6" s="52"/>
      <c r="K6" s="330" t="s">
        <v>370</v>
      </c>
      <c r="L6" s="52">
        <v>44362</v>
      </c>
      <c r="M6" s="330">
        <v>44362</v>
      </c>
      <c r="N6" s="52">
        <v>44418</v>
      </c>
      <c r="O6" s="330">
        <v>44418</v>
      </c>
      <c r="P6" s="333" t="e">
        <f t="shared" si="4"/>
        <v>#VALUE!</v>
      </c>
      <c r="Q6" s="50">
        <f t="shared" si="0"/>
        <v>56</v>
      </c>
      <c r="R6" s="333">
        <f t="shared" si="0"/>
        <v>56</v>
      </c>
      <c r="S6" s="52" t="s">
        <v>370</v>
      </c>
      <c r="T6" s="330">
        <v>44382</v>
      </c>
      <c r="U6" s="347">
        <v>44589</v>
      </c>
      <c r="V6" s="50">
        <v>6.8770764119601333</v>
      </c>
      <c r="W6" s="50">
        <f t="shared" si="1"/>
        <v>6.8770764119601333</v>
      </c>
      <c r="X6" s="50"/>
      <c r="Y6" s="50"/>
      <c r="Z6" s="50" t="s">
        <v>370</v>
      </c>
      <c r="AA6" s="182">
        <v>1367413.55</v>
      </c>
      <c r="AB6" s="211">
        <v>864219.08000000007</v>
      </c>
      <c r="AC6" s="115">
        <v>83841.399999999994</v>
      </c>
      <c r="AD6" s="115">
        <v>12631.18</v>
      </c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3"/>
      <c r="AP6" s="47"/>
      <c r="AQ6" s="53">
        <f t="shared" si="2"/>
        <v>960691.66000000015</v>
      </c>
      <c r="AR6" s="51"/>
      <c r="AS6" s="357">
        <f t="shared" si="3"/>
        <v>-406721.8899999999</v>
      </c>
      <c r="AU6" s="55"/>
    </row>
    <row r="7" spans="1:47" s="36" customFormat="1" ht="15.75" x14ac:dyDescent="0.25">
      <c r="A7" s="34" t="s">
        <v>176</v>
      </c>
      <c r="B7" s="35" t="s">
        <v>925</v>
      </c>
      <c r="C7" s="52" t="s">
        <v>886</v>
      </c>
      <c r="D7" s="52" t="s">
        <v>401</v>
      </c>
      <c r="E7" s="52" t="s">
        <v>24</v>
      </c>
      <c r="F7" s="35" t="s">
        <v>642</v>
      </c>
      <c r="G7" s="52" t="s">
        <v>46</v>
      </c>
      <c r="H7" s="52" t="s">
        <v>370</v>
      </c>
      <c r="I7" s="422" t="s">
        <v>808</v>
      </c>
      <c r="J7" s="422"/>
      <c r="K7" s="330" t="s">
        <v>370</v>
      </c>
      <c r="L7" s="52">
        <v>44367</v>
      </c>
      <c r="M7" s="330">
        <v>44367</v>
      </c>
      <c r="N7" s="52">
        <v>44533</v>
      </c>
      <c r="O7" s="330">
        <v>44533</v>
      </c>
      <c r="P7" s="333" t="e">
        <f t="shared" si="4"/>
        <v>#VALUE!</v>
      </c>
      <c r="Q7" s="50">
        <f t="shared" si="0"/>
        <v>166</v>
      </c>
      <c r="R7" s="333">
        <f t="shared" si="0"/>
        <v>166</v>
      </c>
      <c r="S7" s="52" t="s">
        <v>370</v>
      </c>
      <c r="T7" s="330">
        <v>44517</v>
      </c>
      <c r="U7" s="52">
        <v>44704</v>
      </c>
      <c r="V7" s="50">
        <v>3.0000000000000968</v>
      </c>
      <c r="W7" s="50">
        <f t="shared" si="1"/>
        <v>6.2126245847176085</v>
      </c>
      <c r="X7" s="50"/>
      <c r="Y7" s="50"/>
      <c r="Z7" s="50" t="s">
        <v>370</v>
      </c>
      <c r="AA7" s="182">
        <v>272915</v>
      </c>
      <c r="AB7" s="211">
        <v>139535.13999999998</v>
      </c>
      <c r="AC7" s="115">
        <v>39753.440000000002</v>
      </c>
      <c r="AD7" s="115">
        <v>25717.67</v>
      </c>
      <c r="AE7" s="275">
        <v>25000</v>
      </c>
      <c r="AF7" s="275">
        <v>25000</v>
      </c>
      <c r="AG7" s="275">
        <v>18626.419999999998</v>
      </c>
      <c r="AH7" s="58"/>
      <c r="AI7" s="58"/>
      <c r="AJ7" s="58"/>
      <c r="AK7" s="58"/>
      <c r="AL7" s="58"/>
      <c r="AM7" s="58"/>
      <c r="AN7" s="58"/>
      <c r="AO7" s="53"/>
      <c r="AP7" s="47"/>
      <c r="AQ7" s="53">
        <f t="shared" si="2"/>
        <v>273632.67</v>
      </c>
      <c r="AR7" s="51"/>
      <c r="AS7" s="357">
        <f t="shared" si="3"/>
        <v>717.6699999999837</v>
      </c>
      <c r="AU7" s="55"/>
    </row>
    <row r="8" spans="1:47" s="36" customFormat="1" ht="15.75" x14ac:dyDescent="0.25">
      <c r="A8" s="34" t="s">
        <v>485</v>
      </c>
      <c r="B8" s="35" t="s">
        <v>599</v>
      </c>
      <c r="C8" s="52" t="s">
        <v>886</v>
      </c>
      <c r="D8" s="52" t="s">
        <v>401</v>
      </c>
      <c r="E8" s="52" t="s">
        <v>24</v>
      </c>
      <c r="F8" s="35" t="s">
        <v>707</v>
      </c>
      <c r="G8" s="52" t="s">
        <v>46</v>
      </c>
      <c r="H8" s="52" t="s">
        <v>370</v>
      </c>
      <c r="I8" s="422" t="s">
        <v>807</v>
      </c>
      <c r="J8" s="422"/>
      <c r="K8" s="330" t="s">
        <v>370</v>
      </c>
      <c r="L8" s="52">
        <v>44391</v>
      </c>
      <c r="M8" s="330">
        <v>44391</v>
      </c>
      <c r="N8" s="52">
        <v>44456</v>
      </c>
      <c r="O8" s="330">
        <v>44456</v>
      </c>
      <c r="P8" s="333" t="e">
        <f t="shared" si="4"/>
        <v>#VALUE!</v>
      </c>
      <c r="Q8" s="50">
        <f t="shared" si="0"/>
        <v>65</v>
      </c>
      <c r="R8" s="333">
        <f t="shared" si="0"/>
        <v>65</v>
      </c>
      <c r="S8" s="52" t="s">
        <v>370</v>
      </c>
      <c r="T8" s="330">
        <v>44530</v>
      </c>
      <c r="U8" s="52">
        <v>44706</v>
      </c>
      <c r="V8" s="50">
        <v>5.0166112956810638</v>
      </c>
      <c r="W8" s="50">
        <f t="shared" si="1"/>
        <v>5.8471760797342194</v>
      </c>
      <c r="X8" s="50"/>
      <c r="Y8" s="50"/>
      <c r="Z8" s="50" t="s">
        <v>370</v>
      </c>
      <c r="AA8" s="182">
        <v>1180416.18</v>
      </c>
      <c r="AB8" s="211">
        <v>488349.41</v>
      </c>
      <c r="AC8" s="115">
        <v>162144.04999999999</v>
      </c>
      <c r="AD8" s="115">
        <v>91072.9</v>
      </c>
      <c r="AE8" s="275">
        <v>150000</v>
      </c>
      <c r="AF8" s="275">
        <v>150000</v>
      </c>
      <c r="AG8" s="275">
        <v>75000</v>
      </c>
      <c r="AH8" s="275">
        <v>4922.72</v>
      </c>
      <c r="AI8" s="58"/>
      <c r="AJ8" s="58"/>
      <c r="AK8" s="58"/>
      <c r="AL8" s="58"/>
      <c r="AM8" s="58"/>
      <c r="AN8" s="58"/>
      <c r="AO8" s="53"/>
      <c r="AP8" s="47"/>
      <c r="AQ8" s="53">
        <f t="shared" si="2"/>
        <v>1121489.0799999998</v>
      </c>
      <c r="AR8" s="51"/>
      <c r="AS8" s="357">
        <f t="shared" si="3"/>
        <v>-58927.100000000093</v>
      </c>
      <c r="AU8" s="55"/>
    </row>
    <row r="9" spans="1:47" s="36" customFormat="1" ht="15.75" x14ac:dyDescent="0.25">
      <c r="A9" s="34" t="s">
        <v>486</v>
      </c>
      <c r="B9" s="35" t="s">
        <v>601</v>
      </c>
      <c r="C9" s="52" t="s">
        <v>886</v>
      </c>
      <c r="D9" s="52" t="s">
        <v>401</v>
      </c>
      <c r="E9" s="52" t="s">
        <v>24</v>
      </c>
      <c r="F9" s="35" t="s">
        <v>705</v>
      </c>
      <c r="G9" s="52" t="s">
        <v>46</v>
      </c>
      <c r="H9" s="52" t="s">
        <v>370</v>
      </c>
      <c r="I9" s="422" t="s">
        <v>807</v>
      </c>
      <c r="J9" s="422"/>
      <c r="K9" s="330" t="s">
        <v>370</v>
      </c>
      <c r="L9" s="52">
        <v>44508</v>
      </c>
      <c r="M9" s="330">
        <v>44508</v>
      </c>
      <c r="N9" s="52">
        <v>44539</v>
      </c>
      <c r="O9" s="330">
        <v>44539</v>
      </c>
      <c r="P9" s="333" t="e">
        <f t="shared" si="4"/>
        <v>#VALUE!</v>
      </c>
      <c r="Q9" s="50">
        <f t="shared" si="0"/>
        <v>31</v>
      </c>
      <c r="R9" s="333">
        <f t="shared" si="0"/>
        <v>31</v>
      </c>
      <c r="S9" s="52" t="s">
        <v>370</v>
      </c>
      <c r="T9" s="330">
        <v>44609</v>
      </c>
      <c r="U9" s="52">
        <v>44713</v>
      </c>
      <c r="V9" s="50">
        <v>3.0000000000000968</v>
      </c>
      <c r="W9" s="50">
        <f t="shared" si="1"/>
        <v>3.45514950166113</v>
      </c>
      <c r="X9" s="50"/>
      <c r="Y9" s="50"/>
      <c r="Z9" s="50" t="s">
        <v>370</v>
      </c>
      <c r="AA9" s="182">
        <v>253338.08</v>
      </c>
      <c r="AB9" s="211">
        <v>95915.97</v>
      </c>
      <c r="AC9" s="115">
        <v>0</v>
      </c>
      <c r="AD9" s="115">
        <v>69507.91</v>
      </c>
      <c r="AE9" s="275">
        <v>40000</v>
      </c>
      <c r="AF9" s="275">
        <v>40000</v>
      </c>
      <c r="AG9" s="275">
        <v>25000</v>
      </c>
      <c r="AH9" s="275">
        <v>12422.11</v>
      </c>
      <c r="AI9" s="58"/>
      <c r="AJ9" s="58"/>
      <c r="AK9" s="58"/>
      <c r="AL9" s="58"/>
      <c r="AM9" s="58"/>
      <c r="AN9" s="58"/>
      <c r="AO9" s="53"/>
      <c r="AP9" s="47"/>
      <c r="AQ9" s="53">
        <f t="shared" si="2"/>
        <v>282845.99</v>
      </c>
      <c r="AR9" s="51"/>
      <c r="AS9" s="357">
        <f t="shared" si="3"/>
        <v>29507.910000000003</v>
      </c>
      <c r="AU9" s="55"/>
    </row>
    <row r="10" spans="1:47" s="36" customFormat="1" ht="15.75" x14ac:dyDescent="0.25">
      <c r="A10" s="34" t="s">
        <v>679</v>
      </c>
      <c r="B10" s="35" t="s">
        <v>600</v>
      </c>
      <c r="C10" s="52" t="s">
        <v>886</v>
      </c>
      <c r="D10" s="52" t="s">
        <v>401</v>
      </c>
      <c r="E10" s="52" t="s">
        <v>24</v>
      </c>
      <c r="F10" s="35" t="s">
        <v>706</v>
      </c>
      <c r="G10" s="52" t="s">
        <v>46</v>
      </c>
      <c r="H10" s="52" t="s">
        <v>370</v>
      </c>
      <c r="I10" s="422" t="s">
        <v>807</v>
      </c>
      <c r="J10" s="422"/>
      <c r="K10" s="330" t="s">
        <v>370</v>
      </c>
      <c r="L10" s="52">
        <v>44536</v>
      </c>
      <c r="M10" s="330">
        <v>44536</v>
      </c>
      <c r="N10" s="52">
        <v>44575</v>
      </c>
      <c r="O10" s="330">
        <v>44589</v>
      </c>
      <c r="P10" s="333" t="e">
        <f t="shared" si="4"/>
        <v>#VALUE!</v>
      </c>
      <c r="Q10" s="50">
        <f t="shared" si="0"/>
        <v>39</v>
      </c>
      <c r="R10" s="333">
        <f t="shared" si="0"/>
        <v>53</v>
      </c>
      <c r="S10" s="52" t="s">
        <v>370</v>
      </c>
      <c r="T10" s="330">
        <v>44606</v>
      </c>
      <c r="U10" s="52">
        <v>44692</v>
      </c>
      <c r="V10" s="50">
        <v>3.5548172757475087</v>
      </c>
      <c r="W10" s="50">
        <f t="shared" si="1"/>
        <v>2.8571428571428577</v>
      </c>
      <c r="X10" s="50"/>
      <c r="Y10" s="50"/>
      <c r="Z10" s="50" t="s">
        <v>370</v>
      </c>
      <c r="AA10" s="182">
        <v>402660.29</v>
      </c>
      <c r="AB10" s="211">
        <v>34445.589999999997</v>
      </c>
      <c r="AC10" s="115">
        <v>0</v>
      </c>
      <c r="AD10" s="115">
        <v>54102</v>
      </c>
      <c r="AE10" s="275">
        <v>75000</v>
      </c>
      <c r="AF10" s="275">
        <v>75000</v>
      </c>
      <c r="AG10" s="275">
        <v>75000</v>
      </c>
      <c r="AH10" s="275">
        <v>68214.7</v>
      </c>
      <c r="AI10" s="58"/>
      <c r="AJ10" s="58"/>
      <c r="AK10" s="58"/>
      <c r="AL10" s="58"/>
      <c r="AM10" s="58"/>
      <c r="AN10" s="58"/>
      <c r="AO10" s="53"/>
      <c r="AP10" s="47"/>
      <c r="AQ10" s="53">
        <f t="shared" si="2"/>
        <v>381762.29</v>
      </c>
      <c r="AR10" s="51"/>
      <c r="AS10" s="357">
        <f t="shared" si="3"/>
        <v>-20898</v>
      </c>
      <c r="AU10" s="55"/>
    </row>
    <row r="11" spans="1:47" s="36" customFormat="1" ht="15.75" x14ac:dyDescent="0.25">
      <c r="A11" s="374" t="s">
        <v>734</v>
      </c>
      <c r="B11" s="375" t="s">
        <v>926</v>
      </c>
      <c r="C11" s="52" t="s">
        <v>886</v>
      </c>
      <c r="D11" s="52" t="s">
        <v>402</v>
      </c>
      <c r="E11" s="52" t="s">
        <v>24</v>
      </c>
      <c r="F11" s="35" t="s">
        <v>701</v>
      </c>
      <c r="G11" s="52" t="s">
        <v>46</v>
      </c>
      <c r="H11" s="52" t="s">
        <v>370</v>
      </c>
      <c r="I11" s="422" t="s">
        <v>856</v>
      </c>
      <c r="J11" s="422"/>
      <c r="K11" s="52">
        <v>44638</v>
      </c>
      <c r="L11" s="52">
        <v>44580</v>
      </c>
      <c r="M11" s="330">
        <v>44593</v>
      </c>
      <c r="N11" s="52">
        <v>44625</v>
      </c>
      <c r="O11" s="52">
        <f>M11+45</f>
        <v>44638</v>
      </c>
      <c r="P11" s="50">
        <f t="shared" si="4"/>
        <v>0</v>
      </c>
      <c r="Q11" s="50">
        <f t="shared" si="0"/>
        <v>45</v>
      </c>
      <c r="R11" s="50">
        <f t="shared" si="0"/>
        <v>45</v>
      </c>
      <c r="S11" s="52"/>
      <c r="T11" s="376">
        <f>O11+15</f>
        <v>44653</v>
      </c>
      <c r="U11" s="52">
        <f>T11+(6*4.3*7)</f>
        <v>44833.599999999999</v>
      </c>
      <c r="V11" s="50">
        <v>5.999999999999952</v>
      </c>
      <c r="W11" s="50">
        <f t="shared" si="1"/>
        <v>5.999999999999952</v>
      </c>
      <c r="X11" s="50"/>
      <c r="Y11" s="50"/>
      <c r="Z11" s="50"/>
      <c r="AA11" s="53">
        <v>750000</v>
      </c>
      <c r="AB11" s="211">
        <v>0</v>
      </c>
      <c r="AC11" s="115">
        <v>0</v>
      </c>
      <c r="AD11" s="115">
        <v>0</v>
      </c>
      <c r="AE11" s="275">
        <v>125000</v>
      </c>
      <c r="AF11" s="275">
        <v>125000</v>
      </c>
      <c r="AG11" s="275">
        <v>150000</v>
      </c>
      <c r="AH11" s="275">
        <v>150000</v>
      </c>
      <c r="AI11" s="275">
        <v>140000</v>
      </c>
      <c r="AJ11" s="275">
        <v>60000</v>
      </c>
      <c r="AK11" s="58"/>
      <c r="AL11" s="58"/>
      <c r="AM11" s="58"/>
      <c r="AN11" s="58"/>
      <c r="AO11" s="53"/>
      <c r="AP11" s="47"/>
      <c r="AQ11" s="53">
        <f t="shared" si="2"/>
        <v>750000</v>
      </c>
      <c r="AR11" s="51"/>
      <c r="AS11" s="357">
        <f t="shared" si="3"/>
        <v>0</v>
      </c>
      <c r="AU11" s="55"/>
    </row>
    <row r="12" spans="1:47" s="36" customFormat="1" ht="15.75" x14ac:dyDescent="0.25">
      <c r="A12" s="34" t="s">
        <v>868</v>
      </c>
      <c r="B12" s="35" t="s">
        <v>869</v>
      </c>
      <c r="C12" s="52" t="s">
        <v>886</v>
      </c>
      <c r="D12" s="52" t="s">
        <v>401</v>
      </c>
      <c r="E12" s="52" t="s">
        <v>24</v>
      </c>
      <c r="F12" s="35" t="s">
        <v>643</v>
      </c>
      <c r="G12" s="52" t="s">
        <v>46</v>
      </c>
      <c r="H12" s="52" t="s">
        <v>370</v>
      </c>
      <c r="I12" s="422" t="s">
        <v>810</v>
      </c>
      <c r="J12" s="422"/>
      <c r="K12" s="330" t="s">
        <v>370</v>
      </c>
      <c r="L12" s="52">
        <v>44512</v>
      </c>
      <c r="M12" s="330">
        <v>44512</v>
      </c>
      <c r="N12" s="52">
        <v>44567</v>
      </c>
      <c r="O12" s="330">
        <v>44560</v>
      </c>
      <c r="P12" s="333" t="e">
        <f t="shared" si="4"/>
        <v>#VALUE!</v>
      </c>
      <c r="Q12" s="50">
        <f t="shared" si="0"/>
        <v>55</v>
      </c>
      <c r="R12" s="333">
        <f t="shared" si="0"/>
        <v>48</v>
      </c>
      <c r="S12" s="52" t="s">
        <v>370</v>
      </c>
      <c r="T12" s="330">
        <v>44572</v>
      </c>
      <c r="U12" s="52">
        <v>44805</v>
      </c>
      <c r="V12" s="50">
        <v>6.9999999999999041</v>
      </c>
      <c r="W12" s="50">
        <f t="shared" si="1"/>
        <v>7.7408637873754156</v>
      </c>
      <c r="X12" s="50"/>
      <c r="Y12" s="50"/>
      <c r="Z12" s="50" t="s">
        <v>370</v>
      </c>
      <c r="AA12" s="182">
        <v>1353098.44</v>
      </c>
      <c r="AB12" s="211">
        <v>86613.87</v>
      </c>
      <c r="AC12" s="115">
        <v>120514.88</v>
      </c>
      <c r="AD12" s="115">
        <v>152425.41999999998</v>
      </c>
      <c r="AE12" s="275">
        <v>150000</v>
      </c>
      <c r="AF12" s="275">
        <v>150000</v>
      </c>
      <c r="AG12" s="275">
        <v>150000</v>
      </c>
      <c r="AH12" s="275">
        <v>150000</v>
      </c>
      <c r="AI12" s="275">
        <v>175000</v>
      </c>
      <c r="AJ12" s="275">
        <v>175000</v>
      </c>
      <c r="AK12" s="275">
        <v>45969.69</v>
      </c>
      <c r="AL12" s="58"/>
      <c r="AM12" s="58"/>
      <c r="AN12" s="58"/>
      <c r="AO12" s="53"/>
      <c r="AP12" s="47"/>
      <c r="AQ12" s="53">
        <f t="shared" si="2"/>
        <v>1355523.8599999999</v>
      </c>
      <c r="AR12" s="51"/>
      <c r="AS12" s="357">
        <f t="shared" si="3"/>
        <v>2425.4199999999255</v>
      </c>
    </row>
    <row r="13" spans="1:47" s="36" customFormat="1" ht="15.75" x14ac:dyDescent="0.25">
      <c r="A13" s="60" t="s">
        <v>224</v>
      </c>
      <c r="B13" s="61" t="s">
        <v>680</v>
      </c>
      <c r="C13" s="52" t="s">
        <v>886</v>
      </c>
      <c r="D13" s="52" t="s">
        <v>24</v>
      </c>
      <c r="E13" s="52" t="s">
        <v>24</v>
      </c>
      <c r="F13" s="61" t="s">
        <v>689</v>
      </c>
      <c r="G13" s="52" t="s">
        <v>46</v>
      </c>
      <c r="H13" s="52" t="s">
        <v>370</v>
      </c>
      <c r="I13" s="422" t="s">
        <v>474</v>
      </c>
      <c r="J13" s="422"/>
      <c r="K13" s="330" t="s">
        <v>370</v>
      </c>
      <c r="L13" s="52">
        <v>44365</v>
      </c>
      <c r="M13" s="330">
        <v>44365</v>
      </c>
      <c r="N13" s="52">
        <v>44489</v>
      </c>
      <c r="O13" s="330">
        <v>44489</v>
      </c>
      <c r="P13" s="333" t="e">
        <f t="shared" si="4"/>
        <v>#VALUE!</v>
      </c>
      <c r="Q13" s="50">
        <f t="shared" si="0"/>
        <v>124</v>
      </c>
      <c r="R13" s="333">
        <f t="shared" si="0"/>
        <v>124</v>
      </c>
      <c r="S13" s="52" t="s">
        <v>370</v>
      </c>
      <c r="T13" s="330">
        <f>O13+15</f>
        <v>44504</v>
      </c>
      <c r="U13" s="52">
        <v>44651</v>
      </c>
      <c r="V13" s="50">
        <v>4.8837209302325579</v>
      </c>
      <c r="W13" s="50">
        <f t="shared" si="1"/>
        <v>4.8837209302325579</v>
      </c>
      <c r="X13" s="50"/>
      <c r="Y13" s="50"/>
      <c r="Z13" s="50" t="s">
        <v>370</v>
      </c>
      <c r="AA13" s="182">
        <v>1207444.74</v>
      </c>
      <c r="AB13" s="211">
        <v>527222.15999999992</v>
      </c>
      <c r="AC13" s="115">
        <v>0</v>
      </c>
      <c r="AD13" s="115">
        <v>255699</v>
      </c>
      <c r="AE13" s="275">
        <v>350000</v>
      </c>
      <c r="AF13" s="275">
        <v>30222.58</v>
      </c>
      <c r="AG13" s="58"/>
      <c r="AH13" s="58"/>
      <c r="AI13" s="58"/>
      <c r="AJ13" s="58"/>
      <c r="AK13" s="58"/>
      <c r="AL13" s="58"/>
      <c r="AM13" s="58"/>
      <c r="AN13" s="58"/>
      <c r="AO13" s="53"/>
      <c r="AP13" s="47"/>
      <c r="AQ13" s="53">
        <f t="shared" si="2"/>
        <v>1163143.74</v>
      </c>
      <c r="AR13" s="51"/>
      <c r="AS13" s="357">
        <f t="shared" si="3"/>
        <v>-44301</v>
      </c>
      <c r="AU13" s="55"/>
    </row>
    <row r="14" spans="1:47" s="36" customFormat="1" ht="15.75" x14ac:dyDescent="0.25">
      <c r="A14" s="99"/>
      <c r="B14" s="100"/>
      <c r="C14" s="91"/>
      <c r="D14" s="91"/>
      <c r="E14" s="429"/>
      <c r="F14" s="100"/>
      <c r="G14" s="91"/>
      <c r="H14" s="91"/>
      <c r="I14" s="429"/>
      <c r="J14" s="429"/>
      <c r="K14" s="91"/>
      <c r="L14" s="91"/>
      <c r="M14" s="91"/>
      <c r="N14" s="91"/>
      <c r="O14" s="91"/>
      <c r="P14" s="92"/>
      <c r="Q14" s="91"/>
      <c r="R14" s="92"/>
      <c r="S14" s="91"/>
      <c r="T14" s="91"/>
      <c r="U14" s="91"/>
      <c r="V14" s="92"/>
      <c r="W14" s="91"/>
      <c r="X14" s="92"/>
      <c r="Y14" s="92"/>
      <c r="Z14" s="92"/>
      <c r="AA14" s="448">
        <f t="shared" ref="AA14:AO14" si="5">SUBTOTAL(9,AA4:AA13)</f>
        <v>9020556.4299999997</v>
      </c>
      <c r="AB14" s="448">
        <f t="shared" si="5"/>
        <v>4236658.5600000005</v>
      </c>
      <c r="AC14" s="448">
        <f t="shared" si="5"/>
        <v>530325.79</v>
      </c>
      <c r="AD14" s="448">
        <f t="shared" si="5"/>
        <v>661156.07999999996</v>
      </c>
      <c r="AE14" s="448">
        <f t="shared" si="5"/>
        <v>915000</v>
      </c>
      <c r="AF14" s="448">
        <f t="shared" si="5"/>
        <v>595222.57999999996</v>
      </c>
      <c r="AG14" s="448">
        <f t="shared" si="5"/>
        <v>493626.42</v>
      </c>
      <c r="AH14" s="448">
        <f t="shared" si="5"/>
        <v>385559.53</v>
      </c>
      <c r="AI14" s="448">
        <f t="shared" si="5"/>
        <v>315000</v>
      </c>
      <c r="AJ14" s="448">
        <f>SUBTOTAL(9,AJ4:AJ13)</f>
        <v>235000</v>
      </c>
      <c r="AK14" s="448">
        <f t="shared" si="5"/>
        <v>45969.69</v>
      </c>
      <c r="AL14" s="448">
        <f t="shared" si="5"/>
        <v>0</v>
      </c>
      <c r="AM14" s="448">
        <f t="shared" si="5"/>
        <v>0</v>
      </c>
      <c r="AN14" s="448">
        <f t="shared" si="5"/>
        <v>0</v>
      </c>
      <c r="AO14" s="448">
        <f t="shared" si="5"/>
        <v>0</v>
      </c>
      <c r="AP14" s="449"/>
      <c r="AQ14" s="448">
        <f>SUBTOTAL(9,AQ4:AQ13)</f>
        <v>8413518.6500000004</v>
      </c>
      <c r="AR14" s="450"/>
      <c r="AS14" s="357">
        <f t="shared" si="3"/>
        <v>-607037.77999999933</v>
      </c>
      <c r="AT14" s="55"/>
    </row>
    <row r="15" spans="1:47" s="36" customFormat="1" ht="15.75" x14ac:dyDescent="0.25">
      <c r="A15" s="381" t="s">
        <v>571</v>
      </c>
      <c r="B15" s="106"/>
      <c r="C15" s="102" t="s">
        <v>874</v>
      </c>
      <c r="D15" s="102"/>
      <c r="E15" s="420"/>
      <c r="F15" s="106"/>
      <c r="G15" s="102"/>
      <c r="H15" s="102"/>
      <c r="I15" s="420"/>
      <c r="J15" s="420"/>
      <c r="K15" s="102"/>
      <c r="L15" s="102"/>
      <c r="M15" s="276"/>
      <c r="N15" s="276"/>
      <c r="O15" s="276"/>
      <c r="P15" s="84"/>
      <c r="Q15" s="276"/>
      <c r="R15" s="84"/>
      <c r="S15" s="102"/>
      <c r="T15" s="102"/>
      <c r="U15" s="102"/>
      <c r="V15" s="84"/>
      <c r="W15" s="102"/>
      <c r="X15" s="102"/>
      <c r="Y15" s="102"/>
      <c r="Z15" s="102"/>
      <c r="AA15" s="102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47"/>
      <c r="AQ15" s="103"/>
      <c r="AR15" s="51"/>
      <c r="AS15" s="357"/>
      <c r="AU15" s="55"/>
    </row>
    <row r="16" spans="1:47" s="36" customFormat="1" ht="15.75" x14ac:dyDescent="0.25">
      <c r="A16" s="319" t="s">
        <v>881</v>
      </c>
      <c r="B16" s="320" t="s">
        <v>913</v>
      </c>
      <c r="C16" s="321" t="s">
        <v>874</v>
      </c>
      <c r="D16" s="321" t="s">
        <v>873</v>
      </c>
      <c r="E16" s="425" t="s">
        <v>890</v>
      </c>
      <c r="F16" s="337" t="s">
        <v>264</v>
      </c>
      <c r="G16" s="321" t="s">
        <v>46</v>
      </c>
      <c r="H16" s="321" t="s">
        <v>370</v>
      </c>
      <c r="I16" s="425" t="s">
        <v>265</v>
      </c>
      <c r="J16" s="425"/>
      <c r="K16" s="332" t="s">
        <v>370</v>
      </c>
      <c r="L16" s="321">
        <v>44348</v>
      </c>
      <c r="M16" s="332">
        <v>44348</v>
      </c>
      <c r="N16" s="321">
        <v>44362</v>
      </c>
      <c r="O16" s="332">
        <v>44362</v>
      </c>
      <c r="P16" s="343" t="e">
        <f t="shared" ref="P16:P24" si="6">O16-K16</f>
        <v>#VALUE!</v>
      </c>
      <c r="Q16" s="322">
        <f t="shared" ref="Q16:R22" si="7">N16-L16</f>
        <v>14</v>
      </c>
      <c r="R16" s="343">
        <f t="shared" si="7"/>
        <v>14</v>
      </c>
      <c r="S16" s="321" t="s">
        <v>370</v>
      </c>
      <c r="T16" s="332">
        <v>44344</v>
      </c>
      <c r="U16" s="332">
        <v>44497</v>
      </c>
      <c r="V16" s="322">
        <v>5</v>
      </c>
      <c r="W16" s="343">
        <f>((U16-T16)/7)/4.3</f>
        <v>5.0830564784053163</v>
      </c>
      <c r="X16" s="322"/>
      <c r="Y16" s="322"/>
      <c r="Z16" s="322" t="s">
        <v>370</v>
      </c>
      <c r="AA16" s="323">
        <v>89125</v>
      </c>
      <c r="AB16" s="211">
        <v>58100</v>
      </c>
      <c r="AC16" s="115">
        <v>0</v>
      </c>
      <c r="AD16" s="115">
        <v>0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3"/>
      <c r="AP16" s="47"/>
      <c r="AQ16" s="53">
        <f>SUM(AB16:AP16)</f>
        <v>58100</v>
      </c>
      <c r="AR16" s="51"/>
      <c r="AS16" s="357">
        <f>AQ16-AA16</f>
        <v>-31025</v>
      </c>
    </row>
    <row r="17" spans="1:47" s="36" customFormat="1" ht="15.75" x14ac:dyDescent="0.25">
      <c r="A17" s="34" t="s">
        <v>65</v>
      </c>
      <c r="B17" s="35" t="s">
        <v>531</v>
      </c>
      <c r="C17" s="52" t="s">
        <v>874</v>
      </c>
      <c r="D17" s="52" t="s">
        <v>873</v>
      </c>
      <c r="E17" s="423" t="s">
        <v>24</v>
      </c>
      <c r="F17" s="61" t="s">
        <v>67</v>
      </c>
      <c r="G17" s="52" t="s">
        <v>46</v>
      </c>
      <c r="H17" s="52" t="s">
        <v>370</v>
      </c>
      <c r="I17" s="423" t="s">
        <v>812</v>
      </c>
      <c r="J17" s="423"/>
      <c r="K17" s="330" t="s">
        <v>370</v>
      </c>
      <c r="L17" s="52">
        <v>43929</v>
      </c>
      <c r="M17" s="330">
        <v>43929</v>
      </c>
      <c r="N17" s="52">
        <v>44004</v>
      </c>
      <c r="O17" s="330">
        <v>44004</v>
      </c>
      <c r="P17" s="333" t="e">
        <f t="shared" si="6"/>
        <v>#VALUE!</v>
      </c>
      <c r="Q17" s="50">
        <f t="shared" si="7"/>
        <v>75</v>
      </c>
      <c r="R17" s="333">
        <f t="shared" si="7"/>
        <v>75</v>
      </c>
      <c r="S17" s="321" t="s">
        <v>370</v>
      </c>
      <c r="T17" s="330">
        <v>44004</v>
      </c>
      <c r="U17" s="52">
        <v>44469</v>
      </c>
      <c r="V17" s="50">
        <v>15</v>
      </c>
      <c r="W17" s="50">
        <f t="shared" ref="W17:W22" si="8">((U17-T17)/7)/4.3</f>
        <v>15.448504983388705</v>
      </c>
      <c r="X17" s="50"/>
      <c r="Y17" s="50"/>
      <c r="Z17" s="50" t="s">
        <v>370</v>
      </c>
      <c r="AA17" s="182">
        <v>2482029.5100000002</v>
      </c>
      <c r="AB17" s="211">
        <v>2482029.5099999998</v>
      </c>
      <c r="AC17" s="115">
        <v>0</v>
      </c>
      <c r="AD17" s="115">
        <v>0</v>
      </c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47"/>
      <c r="AQ17" s="53">
        <f t="shared" ref="AQ17:AQ24" si="9">SUM(AB17:AP17)</f>
        <v>2482029.5099999998</v>
      </c>
      <c r="AR17" s="51"/>
      <c r="AS17" s="357">
        <f t="shared" ref="AS17:AS79" si="10">AQ17-AA17</f>
        <v>0</v>
      </c>
    </row>
    <row r="18" spans="1:47" s="36" customFormat="1" ht="15.75" x14ac:dyDescent="0.25">
      <c r="A18" s="34" t="s">
        <v>383</v>
      </c>
      <c r="B18" s="35" t="s">
        <v>384</v>
      </c>
      <c r="C18" s="52" t="s">
        <v>874</v>
      </c>
      <c r="D18" s="52" t="s">
        <v>873</v>
      </c>
      <c r="E18" s="423" t="s">
        <v>24</v>
      </c>
      <c r="F18" s="35" t="s">
        <v>89</v>
      </c>
      <c r="G18" s="52" t="s">
        <v>46</v>
      </c>
      <c r="H18" s="52" t="s">
        <v>370</v>
      </c>
      <c r="I18" s="422" t="s">
        <v>91</v>
      </c>
      <c r="J18" s="422"/>
      <c r="K18" s="330" t="s">
        <v>370</v>
      </c>
      <c r="L18" s="52">
        <v>44071</v>
      </c>
      <c r="M18" s="330">
        <v>44071</v>
      </c>
      <c r="N18" s="52">
        <v>44260</v>
      </c>
      <c r="O18" s="330">
        <v>44260</v>
      </c>
      <c r="P18" s="333" t="e">
        <f t="shared" si="6"/>
        <v>#VALUE!</v>
      </c>
      <c r="Q18" s="50">
        <f t="shared" si="7"/>
        <v>189</v>
      </c>
      <c r="R18" s="333">
        <f t="shared" si="7"/>
        <v>189</v>
      </c>
      <c r="S18" s="52" t="s">
        <v>370</v>
      </c>
      <c r="T18" s="330">
        <v>44290</v>
      </c>
      <c r="U18" s="52">
        <v>44484</v>
      </c>
      <c r="V18" s="50">
        <v>6</v>
      </c>
      <c r="W18" s="50">
        <f t="shared" si="8"/>
        <v>6.4451827242524926</v>
      </c>
      <c r="X18" s="50"/>
      <c r="Y18" s="50"/>
      <c r="Z18" s="50" t="s">
        <v>370</v>
      </c>
      <c r="AA18" s="182">
        <v>712367.42999999993</v>
      </c>
      <c r="AB18" s="211">
        <v>712367.42999999993</v>
      </c>
      <c r="AC18" s="115">
        <v>0</v>
      </c>
      <c r="AD18" s="115">
        <v>0</v>
      </c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3"/>
      <c r="AP18" s="47"/>
      <c r="AQ18" s="53">
        <f t="shared" si="9"/>
        <v>712367.42999999993</v>
      </c>
      <c r="AR18" s="51"/>
      <c r="AS18" s="357">
        <f t="shared" si="10"/>
        <v>0</v>
      </c>
      <c r="AU18" s="55"/>
    </row>
    <row r="19" spans="1:47" s="36" customFormat="1" ht="15.75" x14ac:dyDescent="0.25">
      <c r="A19" s="34" t="s">
        <v>92</v>
      </c>
      <c r="B19" s="35" t="s">
        <v>543</v>
      </c>
      <c r="C19" s="52" t="s">
        <v>874</v>
      </c>
      <c r="D19" s="52" t="s">
        <v>873</v>
      </c>
      <c r="E19" s="423" t="s">
        <v>24</v>
      </c>
      <c r="F19" s="35" t="s">
        <v>94</v>
      </c>
      <c r="G19" s="52" t="s">
        <v>46</v>
      </c>
      <c r="H19" s="52" t="s">
        <v>370</v>
      </c>
      <c r="I19" s="422" t="s">
        <v>95</v>
      </c>
      <c r="J19" s="422"/>
      <c r="K19" s="330" t="s">
        <v>370</v>
      </c>
      <c r="L19" s="52">
        <v>44120</v>
      </c>
      <c r="M19" s="330">
        <v>44120</v>
      </c>
      <c r="N19" s="52">
        <v>44246</v>
      </c>
      <c r="O19" s="330">
        <v>44246</v>
      </c>
      <c r="P19" s="333" t="e">
        <f t="shared" si="6"/>
        <v>#VALUE!</v>
      </c>
      <c r="Q19" s="50">
        <f t="shared" si="7"/>
        <v>126</v>
      </c>
      <c r="R19" s="333">
        <f t="shared" si="7"/>
        <v>126</v>
      </c>
      <c r="S19" s="52" t="s">
        <v>370</v>
      </c>
      <c r="T19" s="330">
        <v>44256</v>
      </c>
      <c r="U19" s="52">
        <v>44557</v>
      </c>
      <c r="V19" s="50">
        <v>10</v>
      </c>
      <c r="W19" s="50">
        <f t="shared" si="8"/>
        <v>10</v>
      </c>
      <c r="X19" s="50"/>
      <c r="Y19" s="50"/>
      <c r="Z19" s="50" t="s">
        <v>370</v>
      </c>
      <c r="AA19" s="182">
        <v>1436404.19</v>
      </c>
      <c r="AB19" s="211">
        <v>1436404.19</v>
      </c>
      <c r="AC19" s="115">
        <v>0</v>
      </c>
      <c r="AD19" s="115">
        <v>0</v>
      </c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3"/>
      <c r="AP19" s="47"/>
      <c r="AQ19" s="53">
        <f t="shared" si="9"/>
        <v>1436404.19</v>
      </c>
      <c r="AR19" s="51"/>
      <c r="AS19" s="357">
        <f t="shared" si="10"/>
        <v>0</v>
      </c>
      <c r="AU19" s="55"/>
    </row>
    <row r="20" spans="1:47" s="36" customFormat="1" ht="15.75" x14ac:dyDescent="0.25">
      <c r="A20" s="34" t="s">
        <v>96</v>
      </c>
      <c r="B20" s="35" t="s">
        <v>97</v>
      </c>
      <c r="C20" s="52" t="s">
        <v>874</v>
      </c>
      <c r="D20" s="52" t="s">
        <v>873</v>
      </c>
      <c r="E20" s="423" t="s">
        <v>24</v>
      </c>
      <c r="F20" s="61" t="s">
        <v>98</v>
      </c>
      <c r="G20" s="52" t="s">
        <v>46</v>
      </c>
      <c r="H20" s="52" t="s">
        <v>370</v>
      </c>
      <c r="I20" s="422" t="s">
        <v>95</v>
      </c>
      <c r="J20" s="422"/>
      <c r="K20" s="330" t="s">
        <v>370</v>
      </c>
      <c r="L20" s="52">
        <v>44168</v>
      </c>
      <c r="M20" s="330">
        <v>44168</v>
      </c>
      <c r="N20" s="52">
        <v>44280</v>
      </c>
      <c r="O20" s="330">
        <v>44280</v>
      </c>
      <c r="P20" s="333" t="e">
        <f t="shared" si="6"/>
        <v>#VALUE!</v>
      </c>
      <c r="Q20" s="50">
        <f t="shared" si="7"/>
        <v>112</v>
      </c>
      <c r="R20" s="333">
        <f t="shared" si="7"/>
        <v>112</v>
      </c>
      <c r="S20" s="52" t="s">
        <v>370</v>
      </c>
      <c r="T20" s="330">
        <v>44284</v>
      </c>
      <c r="U20" s="52">
        <v>44524.800000000003</v>
      </c>
      <c r="V20" s="50">
        <v>8</v>
      </c>
      <c r="W20" s="50">
        <f t="shared" si="8"/>
        <v>8.0000000000000977</v>
      </c>
      <c r="X20" s="50"/>
      <c r="Y20" s="50"/>
      <c r="Z20" s="50" t="s">
        <v>370</v>
      </c>
      <c r="AA20" s="182">
        <v>648252.98</v>
      </c>
      <c r="AB20" s="211">
        <v>648252.97999999986</v>
      </c>
      <c r="AC20" s="115">
        <v>0</v>
      </c>
      <c r="AD20" s="115">
        <v>0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3"/>
      <c r="AP20" s="47"/>
      <c r="AQ20" s="53">
        <f t="shared" si="9"/>
        <v>648252.97999999986</v>
      </c>
      <c r="AR20" s="51"/>
      <c r="AS20" s="357">
        <f t="shared" si="10"/>
        <v>0</v>
      </c>
      <c r="AU20" s="55"/>
    </row>
    <row r="21" spans="1:47" s="36" customFormat="1" ht="15.75" x14ac:dyDescent="0.25">
      <c r="A21" s="34" t="s">
        <v>99</v>
      </c>
      <c r="B21" s="35" t="s">
        <v>100</v>
      </c>
      <c r="C21" s="52" t="s">
        <v>874</v>
      </c>
      <c r="D21" s="52" t="s">
        <v>873</v>
      </c>
      <c r="E21" s="423" t="s">
        <v>24</v>
      </c>
      <c r="F21" s="61" t="s">
        <v>101</v>
      </c>
      <c r="G21" s="52" t="s">
        <v>46</v>
      </c>
      <c r="H21" s="52" t="s">
        <v>370</v>
      </c>
      <c r="I21" s="422" t="s">
        <v>95</v>
      </c>
      <c r="J21" s="422"/>
      <c r="K21" s="330" t="s">
        <v>370</v>
      </c>
      <c r="L21" s="52">
        <v>44168</v>
      </c>
      <c r="M21" s="330">
        <v>44168</v>
      </c>
      <c r="N21" s="52">
        <v>44280</v>
      </c>
      <c r="O21" s="330">
        <v>44280</v>
      </c>
      <c r="P21" s="333" t="e">
        <f t="shared" si="6"/>
        <v>#VALUE!</v>
      </c>
      <c r="Q21" s="50">
        <f t="shared" si="7"/>
        <v>112</v>
      </c>
      <c r="R21" s="333">
        <f t="shared" si="7"/>
        <v>112</v>
      </c>
      <c r="S21" s="52" t="s">
        <v>370</v>
      </c>
      <c r="T21" s="330">
        <v>44284</v>
      </c>
      <c r="U21" s="52">
        <v>44524</v>
      </c>
      <c r="V21" s="50">
        <v>8</v>
      </c>
      <c r="W21" s="50">
        <f t="shared" si="8"/>
        <v>7.9734219269102988</v>
      </c>
      <c r="X21" s="50"/>
      <c r="Y21" s="50"/>
      <c r="Z21" s="50" t="s">
        <v>370</v>
      </c>
      <c r="AA21" s="182">
        <v>400186.6</v>
      </c>
      <c r="AB21" s="211">
        <v>400186.6</v>
      </c>
      <c r="AC21" s="115">
        <v>0</v>
      </c>
      <c r="AD21" s="115">
        <v>0</v>
      </c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3"/>
      <c r="AP21" s="47"/>
      <c r="AQ21" s="53">
        <f t="shared" si="9"/>
        <v>400186.6</v>
      </c>
      <c r="AR21" s="51"/>
      <c r="AS21" s="357">
        <f t="shared" si="10"/>
        <v>0</v>
      </c>
      <c r="AU21" s="55"/>
    </row>
    <row r="22" spans="1:47" s="36" customFormat="1" ht="15.75" x14ac:dyDescent="0.25">
      <c r="A22" s="336" t="s">
        <v>60</v>
      </c>
      <c r="B22" s="337" t="s">
        <v>377</v>
      </c>
      <c r="C22" s="402" t="s">
        <v>874</v>
      </c>
      <c r="D22" s="402" t="s">
        <v>631</v>
      </c>
      <c r="E22" s="425" t="s">
        <v>24</v>
      </c>
      <c r="F22" s="337" t="s">
        <v>62</v>
      </c>
      <c r="G22" s="321" t="s">
        <v>46</v>
      </c>
      <c r="H22" s="321" t="s">
        <v>370</v>
      </c>
      <c r="I22" s="402" t="s">
        <v>64</v>
      </c>
      <c r="J22" s="402"/>
      <c r="K22" s="332" t="s">
        <v>370</v>
      </c>
      <c r="L22" s="321">
        <v>44054</v>
      </c>
      <c r="M22" s="332">
        <v>44054</v>
      </c>
      <c r="N22" s="321">
        <v>44147</v>
      </c>
      <c r="O22" s="332">
        <v>44147</v>
      </c>
      <c r="P22" s="343" t="e">
        <f t="shared" si="6"/>
        <v>#VALUE!</v>
      </c>
      <c r="Q22" s="322">
        <f t="shared" si="7"/>
        <v>93</v>
      </c>
      <c r="R22" s="343">
        <f t="shared" si="7"/>
        <v>93</v>
      </c>
      <c r="S22" s="321" t="s">
        <v>370</v>
      </c>
      <c r="T22" s="332">
        <v>44119</v>
      </c>
      <c r="U22" s="321">
        <v>44531</v>
      </c>
      <c r="V22" s="322">
        <v>14</v>
      </c>
      <c r="W22" s="322">
        <f t="shared" si="8"/>
        <v>13.687707641196013</v>
      </c>
      <c r="X22" s="322"/>
      <c r="Y22" s="322"/>
      <c r="Z22" s="322" t="s">
        <v>370</v>
      </c>
      <c r="AA22" s="323">
        <v>14188397.560000001</v>
      </c>
      <c r="AB22" s="211">
        <v>13413397.559999997</v>
      </c>
      <c r="AC22" s="115">
        <v>812671.7</v>
      </c>
      <c r="AD22" s="115">
        <v>0</v>
      </c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3"/>
      <c r="AP22" s="47"/>
      <c r="AQ22" s="53">
        <f t="shared" si="9"/>
        <v>14226069.259999996</v>
      </c>
      <c r="AR22" s="51"/>
      <c r="AS22" s="357">
        <f t="shared" si="10"/>
        <v>37671.69999999553</v>
      </c>
    </row>
    <row r="23" spans="1:47" s="36" customFormat="1" ht="15.75" x14ac:dyDescent="0.25">
      <c r="A23" s="34" t="s">
        <v>102</v>
      </c>
      <c r="B23" s="35" t="s">
        <v>385</v>
      </c>
      <c r="C23" s="52" t="s">
        <v>874</v>
      </c>
      <c r="D23" s="52" t="s">
        <v>873</v>
      </c>
      <c r="E23" s="423" t="s">
        <v>24</v>
      </c>
      <c r="F23" s="35" t="s">
        <v>626</v>
      </c>
      <c r="G23" s="52" t="s">
        <v>46</v>
      </c>
      <c r="H23" s="52" t="s">
        <v>370</v>
      </c>
      <c r="I23" s="422" t="s">
        <v>813</v>
      </c>
      <c r="J23" s="422"/>
      <c r="K23" s="330" t="s">
        <v>370</v>
      </c>
      <c r="L23" s="330" t="s">
        <v>24</v>
      </c>
      <c r="M23" s="330" t="s">
        <v>24</v>
      </c>
      <c r="N23" s="330" t="s">
        <v>24</v>
      </c>
      <c r="O23" s="330" t="s">
        <v>24</v>
      </c>
      <c r="P23" s="333" t="s">
        <v>24</v>
      </c>
      <c r="Q23" s="333" t="s">
        <v>24</v>
      </c>
      <c r="R23" s="333" t="s">
        <v>24</v>
      </c>
      <c r="S23" s="333" t="s">
        <v>320</v>
      </c>
      <c r="T23" s="333" t="s">
        <v>24</v>
      </c>
      <c r="U23" s="333" t="s">
        <v>24</v>
      </c>
      <c r="V23" s="333" t="s">
        <v>24</v>
      </c>
      <c r="W23" s="333" t="s">
        <v>24</v>
      </c>
      <c r="X23" s="333" t="s">
        <v>24</v>
      </c>
      <c r="Y23" s="333" t="s">
        <v>24</v>
      </c>
      <c r="Z23" s="333" t="s">
        <v>24</v>
      </c>
      <c r="AA23" s="182">
        <v>0</v>
      </c>
      <c r="AB23" s="211">
        <v>0</v>
      </c>
      <c r="AC23" s="115">
        <v>0</v>
      </c>
      <c r="AD23" s="115">
        <v>0</v>
      </c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47"/>
      <c r="AQ23" s="53">
        <f t="shared" si="9"/>
        <v>0</v>
      </c>
      <c r="AR23" s="51"/>
      <c r="AS23" s="357">
        <f t="shared" si="10"/>
        <v>0</v>
      </c>
      <c r="AU23" s="55"/>
    </row>
    <row r="24" spans="1:47" s="36" customFormat="1" ht="15.75" x14ac:dyDescent="0.25">
      <c r="A24" s="34" t="s">
        <v>107</v>
      </c>
      <c r="B24" s="35" t="s">
        <v>108</v>
      </c>
      <c r="C24" s="52" t="s">
        <v>874</v>
      </c>
      <c r="D24" s="52" t="s">
        <v>873</v>
      </c>
      <c r="E24" s="423" t="s">
        <v>24</v>
      </c>
      <c r="F24" s="34" t="s">
        <v>109</v>
      </c>
      <c r="G24" s="52" t="s">
        <v>46</v>
      </c>
      <c r="H24" s="52" t="s">
        <v>370</v>
      </c>
      <c r="I24" s="422" t="s">
        <v>813</v>
      </c>
      <c r="J24" s="422"/>
      <c r="K24" s="330" t="s">
        <v>370</v>
      </c>
      <c r="L24" s="52">
        <v>44417</v>
      </c>
      <c r="M24" s="330">
        <v>44417</v>
      </c>
      <c r="N24" s="52">
        <v>44418</v>
      </c>
      <c r="O24" s="330">
        <v>44418</v>
      </c>
      <c r="P24" s="333" t="e">
        <f t="shared" si="6"/>
        <v>#VALUE!</v>
      </c>
      <c r="Q24" s="50">
        <f>N24-L24</f>
        <v>1</v>
      </c>
      <c r="R24" s="333">
        <f>O24-M24</f>
        <v>1</v>
      </c>
      <c r="S24" s="52" t="s">
        <v>370</v>
      </c>
      <c r="T24" s="330">
        <v>44470</v>
      </c>
      <c r="U24" s="490">
        <v>44628</v>
      </c>
      <c r="V24" s="50">
        <v>4</v>
      </c>
      <c r="W24" s="50">
        <f>((U24-T24)/7)/4.3</f>
        <v>5.249169435215947</v>
      </c>
      <c r="X24" s="50"/>
      <c r="Y24" s="50"/>
      <c r="Z24" s="50" t="s">
        <v>370</v>
      </c>
      <c r="AA24" s="182">
        <v>295011.28999999998</v>
      </c>
      <c r="AB24" s="211">
        <v>264663.84999999998</v>
      </c>
      <c r="AC24" s="115">
        <v>0</v>
      </c>
      <c r="AD24" s="115">
        <v>0</v>
      </c>
      <c r="AE24" s="275">
        <v>15347.44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53"/>
      <c r="AP24" s="47"/>
      <c r="AQ24" s="53">
        <f t="shared" si="9"/>
        <v>280011.28999999998</v>
      </c>
      <c r="AR24" s="51"/>
      <c r="AS24" s="357">
        <f t="shared" si="10"/>
        <v>-15000</v>
      </c>
      <c r="AU24" s="55"/>
    </row>
    <row r="25" spans="1:47" s="36" customFormat="1" ht="15.75" x14ac:dyDescent="0.25">
      <c r="A25" s="99"/>
      <c r="B25" s="100"/>
      <c r="C25" s="91"/>
      <c r="D25" s="91"/>
      <c r="E25" s="429"/>
      <c r="F25" s="100"/>
      <c r="G25" s="91"/>
      <c r="H25" s="91"/>
      <c r="I25" s="429"/>
      <c r="J25" s="429"/>
      <c r="K25" s="91"/>
      <c r="L25" s="91"/>
      <c r="M25" s="91"/>
      <c r="N25" s="91"/>
      <c r="O25" s="91"/>
      <c r="P25" s="92"/>
      <c r="Q25" s="91"/>
      <c r="R25" s="92"/>
      <c r="S25" s="91"/>
      <c r="T25" s="91"/>
      <c r="U25" s="91"/>
      <c r="V25" s="92"/>
      <c r="W25" s="92"/>
      <c r="X25" s="92"/>
      <c r="Y25" s="92"/>
      <c r="Z25" s="92"/>
      <c r="AA25" s="59">
        <f t="shared" ref="AA25:AO25" si="11">SUBTOTAL(9,AA16:AA24)</f>
        <v>20251774.560000002</v>
      </c>
      <c r="AB25" s="59">
        <f t="shared" si="11"/>
        <v>19415402.119999997</v>
      </c>
      <c r="AC25" s="59">
        <f t="shared" si="11"/>
        <v>812671.7</v>
      </c>
      <c r="AD25" s="59">
        <f t="shared" si="11"/>
        <v>0</v>
      </c>
      <c r="AE25" s="59">
        <f t="shared" si="11"/>
        <v>15347.44</v>
      </c>
      <c r="AF25" s="59">
        <f t="shared" si="11"/>
        <v>0</v>
      </c>
      <c r="AG25" s="59">
        <f t="shared" si="11"/>
        <v>0</v>
      </c>
      <c r="AH25" s="59">
        <f t="shared" si="11"/>
        <v>0</v>
      </c>
      <c r="AI25" s="59">
        <f t="shared" si="11"/>
        <v>0</v>
      </c>
      <c r="AJ25" s="59">
        <f t="shared" si="11"/>
        <v>0</v>
      </c>
      <c r="AK25" s="59">
        <f t="shared" si="11"/>
        <v>0</v>
      </c>
      <c r="AL25" s="59">
        <f t="shared" si="11"/>
        <v>0</v>
      </c>
      <c r="AM25" s="59">
        <f t="shared" si="11"/>
        <v>0</v>
      </c>
      <c r="AN25" s="59">
        <f t="shared" si="11"/>
        <v>0</v>
      </c>
      <c r="AO25" s="59">
        <f t="shared" si="11"/>
        <v>0</v>
      </c>
      <c r="AP25" s="47"/>
      <c r="AQ25" s="59">
        <f>SUBTOTAL(9,AQ16:AQ24)</f>
        <v>20243421.259999994</v>
      </c>
      <c r="AR25" s="51"/>
      <c r="AS25" s="357">
        <f t="shared" si="10"/>
        <v>-8353.3000000081956</v>
      </c>
      <c r="AU25" s="55"/>
    </row>
    <row r="26" spans="1:47" s="36" customFormat="1" ht="15.75" x14ac:dyDescent="0.25">
      <c r="A26" s="382" t="s">
        <v>569</v>
      </c>
      <c r="B26" s="387"/>
      <c r="C26" s="102" t="s">
        <v>887</v>
      </c>
      <c r="D26" s="102"/>
      <c r="E26" s="102"/>
      <c r="F26" s="381"/>
      <c r="G26" s="102"/>
      <c r="H26" s="102"/>
      <c r="I26" s="102"/>
      <c r="J26" s="102"/>
      <c r="K26" s="102"/>
      <c r="L26" s="102"/>
      <c r="M26" s="276"/>
      <c r="N26" s="276"/>
      <c r="O26" s="276"/>
      <c r="P26" s="84"/>
      <c r="Q26" s="276"/>
      <c r="R26" s="84"/>
      <c r="S26" s="102"/>
      <c r="T26" s="102"/>
      <c r="U26" s="102"/>
      <c r="V26" s="84"/>
      <c r="W26" s="102"/>
      <c r="X26" s="102"/>
      <c r="Y26" s="102"/>
      <c r="Z26" s="102"/>
      <c r="AA26" s="10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47"/>
      <c r="AQ26" s="103"/>
      <c r="AR26" s="51"/>
      <c r="AS26" s="357">
        <f t="shared" si="10"/>
        <v>0</v>
      </c>
    </row>
    <row r="27" spans="1:47" s="36" customFormat="1" ht="15.75" x14ac:dyDescent="0.25">
      <c r="A27" s="366" t="s">
        <v>134</v>
      </c>
      <c r="B27" s="367" t="s">
        <v>135</v>
      </c>
      <c r="C27" s="321" t="s">
        <v>887</v>
      </c>
      <c r="D27" s="321" t="s">
        <v>566</v>
      </c>
      <c r="E27" s="321" t="s">
        <v>24</v>
      </c>
      <c r="F27" s="366" t="s">
        <v>136</v>
      </c>
      <c r="G27" s="321" t="s">
        <v>46</v>
      </c>
      <c r="H27" s="321" t="s">
        <v>370</v>
      </c>
      <c r="I27" s="321" t="s">
        <v>809</v>
      </c>
      <c r="J27" s="321"/>
      <c r="K27" s="332" t="s">
        <v>24</v>
      </c>
      <c r="L27" s="321">
        <v>44174</v>
      </c>
      <c r="M27" s="332">
        <v>44174</v>
      </c>
      <c r="N27" s="321">
        <v>44223</v>
      </c>
      <c r="O27" s="332">
        <v>44223</v>
      </c>
      <c r="P27" s="343" t="e">
        <f t="shared" ref="P27:P28" si="12">O27-K27</f>
        <v>#VALUE!</v>
      </c>
      <c r="Q27" s="322">
        <f>N27-L27</f>
        <v>49</v>
      </c>
      <c r="R27" s="343">
        <f>O27-M27</f>
        <v>49</v>
      </c>
      <c r="S27" s="321" t="s">
        <v>370</v>
      </c>
      <c r="T27" s="332">
        <v>44382</v>
      </c>
      <c r="U27" s="321">
        <v>44540</v>
      </c>
      <c r="V27" s="322">
        <v>5</v>
      </c>
      <c r="W27" s="322">
        <f>((U27-T27)/7)/4.3</f>
        <v>5.249169435215947</v>
      </c>
      <c r="X27" s="322"/>
      <c r="Y27" s="322"/>
      <c r="Z27" s="322" t="s">
        <v>370</v>
      </c>
      <c r="AA27" s="323">
        <v>1006578.9</v>
      </c>
      <c r="AB27" s="211">
        <v>1006578.9</v>
      </c>
      <c r="AC27" s="115">
        <v>0</v>
      </c>
      <c r="AD27" s="115">
        <v>413409.04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47"/>
      <c r="AQ27" s="53">
        <f>SUM(AB27:AP27)</f>
        <v>1419987.94</v>
      </c>
      <c r="AR27" s="51"/>
      <c r="AS27" s="357">
        <f t="shared" si="10"/>
        <v>413409.03999999992</v>
      </c>
    </row>
    <row r="28" spans="1:47" s="36" customFormat="1" ht="15.75" x14ac:dyDescent="0.25">
      <c r="A28" s="319" t="s">
        <v>226</v>
      </c>
      <c r="B28" s="319" t="s">
        <v>442</v>
      </c>
      <c r="C28" s="402" t="s">
        <v>887</v>
      </c>
      <c r="D28" s="402" t="s">
        <v>565</v>
      </c>
      <c r="E28" s="472" t="s">
        <v>24</v>
      </c>
      <c r="F28" s="320" t="s">
        <v>656</v>
      </c>
      <c r="G28" s="321" t="s">
        <v>46</v>
      </c>
      <c r="H28" s="321" t="s">
        <v>370</v>
      </c>
      <c r="I28" s="428" t="s">
        <v>809</v>
      </c>
      <c r="J28" s="428"/>
      <c r="K28" s="332" t="s">
        <v>24</v>
      </c>
      <c r="L28" s="321">
        <v>44295</v>
      </c>
      <c r="M28" s="332">
        <v>44295</v>
      </c>
      <c r="N28" s="321">
        <v>44357</v>
      </c>
      <c r="O28" s="332">
        <v>44357</v>
      </c>
      <c r="P28" s="343" t="e">
        <f t="shared" si="12"/>
        <v>#VALUE!</v>
      </c>
      <c r="Q28" s="322">
        <f>N28-L28</f>
        <v>62</v>
      </c>
      <c r="R28" s="343">
        <f>O28-M28</f>
        <v>62</v>
      </c>
      <c r="S28" s="321" t="s">
        <v>370</v>
      </c>
      <c r="T28" s="332">
        <v>44387</v>
      </c>
      <c r="U28" s="321">
        <v>44540</v>
      </c>
      <c r="V28" s="322">
        <v>5</v>
      </c>
      <c r="W28" s="322">
        <f>((U28-T28)/7)/4.3</f>
        <v>5.0830564784053163</v>
      </c>
      <c r="X28" s="322"/>
      <c r="Y28" s="322"/>
      <c r="Z28" s="322" t="s">
        <v>370</v>
      </c>
      <c r="AA28" s="323">
        <v>2315782.2000000002</v>
      </c>
      <c r="AB28" s="211">
        <v>2304152.1999999997</v>
      </c>
      <c r="AC28" s="115">
        <v>38625.5</v>
      </c>
      <c r="AD28" s="115">
        <v>0</v>
      </c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3"/>
      <c r="AP28" s="47"/>
      <c r="AQ28" s="53">
        <f>SUM(AB28:AP28)</f>
        <v>2342777.6999999997</v>
      </c>
      <c r="AR28" s="51"/>
      <c r="AS28" s="357">
        <f t="shared" si="10"/>
        <v>26995.499999999534</v>
      </c>
    </row>
    <row r="29" spans="1:47" s="36" customFormat="1" ht="15.75" x14ac:dyDescent="0.25">
      <c r="A29" s="99"/>
      <c r="B29" s="99"/>
      <c r="C29" s="91"/>
      <c r="D29" s="91"/>
      <c r="E29" s="91"/>
      <c r="F29" s="99"/>
      <c r="G29" s="91"/>
      <c r="H29" s="91"/>
      <c r="I29" s="429"/>
      <c r="J29" s="429"/>
      <c r="K29" s="91"/>
      <c r="L29" s="91"/>
      <c r="M29" s="91"/>
      <c r="N29" s="91"/>
      <c r="O29" s="91"/>
      <c r="P29" s="92"/>
      <c r="Q29" s="91"/>
      <c r="R29" s="92"/>
      <c r="S29" s="91"/>
      <c r="T29" s="91"/>
      <c r="U29" s="91"/>
      <c r="V29" s="92"/>
      <c r="W29" s="91"/>
      <c r="X29" s="92"/>
      <c r="Y29" s="92"/>
      <c r="Z29" s="92"/>
      <c r="AA29" s="59">
        <f t="shared" ref="AA29:AO29" si="13">SUBTOTAL(9,AA27:AA28)</f>
        <v>3322361.1</v>
      </c>
      <c r="AB29" s="59">
        <f t="shared" si="13"/>
        <v>3310731.0999999996</v>
      </c>
      <c r="AC29" s="59">
        <f t="shared" si="13"/>
        <v>38625.5</v>
      </c>
      <c r="AD29" s="59">
        <f t="shared" si="13"/>
        <v>413409.04</v>
      </c>
      <c r="AE29" s="59">
        <f t="shared" si="13"/>
        <v>0</v>
      </c>
      <c r="AF29" s="59">
        <f t="shared" si="13"/>
        <v>0</v>
      </c>
      <c r="AG29" s="59">
        <f t="shared" si="13"/>
        <v>0</v>
      </c>
      <c r="AH29" s="59">
        <f t="shared" si="13"/>
        <v>0</v>
      </c>
      <c r="AI29" s="59">
        <f t="shared" si="13"/>
        <v>0</v>
      </c>
      <c r="AJ29" s="59">
        <f t="shared" si="13"/>
        <v>0</v>
      </c>
      <c r="AK29" s="59">
        <f t="shared" si="13"/>
        <v>0</v>
      </c>
      <c r="AL29" s="59">
        <f t="shared" si="13"/>
        <v>0</v>
      </c>
      <c r="AM29" s="59">
        <f t="shared" si="13"/>
        <v>0</v>
      </c>
      <c r="AN29" s="59">
        <f t="shared" si="13"/>
        <v>0</v>
      </c>
      <c r="AO29" s="59">
        <f t="shared" si="13"/>
        <v>0</v>
      </c>
      <c r="AP29" s="47"/>
      <c r="AQ29" s="59">
        <f>SUBTOTAL(9,AQ27:AQ28)</f>
        <v>3762765.6399999997</v>
      </c>
      <c r="AR29" s="51"/>
      <c r="AS29" s="357">
        <f t="shared" si="10"/>
        <v>440404.53999999957</v>
      </c>
    </row>
    <row r="30" spans="1:47" s="36" customFormat="1" ht="15.75" x14ac:dyDescent="0.25">
      <c r="A30" s="381" t="s">
        <v>761</v>
      </c>
      <c r="B30" s="381"/>
      <c r="C30" s="101" t="s">
        <v>884</v>
      </c>
      <c r="D30" s="101"/>
      <c r="E30" s="101"/>
      <c r="F30" s="107"/>
      <c r="G30" s="102"/>
      <c r="H30" s="102"/>
      <c r="I30" s="101"/>
      <c r="J30" s="101"/>
      <c r="K30" s="102"/>
      <c r="L30" s="102"/>
      <c r="M30" s="276"/>
      <c r="N30" s="276"/>
      <c r="O30" s="276"/>
      <c r="P30" s="84"/>
      <c r="Q30" s="276"/>
      <c r="R30" s="84"/>
      <c r="S30" s="102"/>
      <c r="T30" s="102"/>
      <c r="U30" s="102"/>
      <c r="V30" s="84"/>
      <c r="W30" s="102"/>
      <c r="X30" s="102"/>
      <c r="Y30" s="102"/>
      <c r="Z30" s="102"/>
      <c r="AA30" s="102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47"/>
      <c r="AQ30" s="103"/>
      <c r="AR30" s="51"/>
      <c r="AS30" s="357">
        <f t="shared" si="10"/>
        <v>0</v>
      </c>
      <c r="AU30" s="55"/>
    </row>
    <row r="31" spans="1:47" s="36" customFormat="1" ht="15.75" x14ac:dyDescent="0.25">
      <c r="A31" s="374" t="s">
        <v>203</v>
      </c>
      <c r="B31" s="374" t="s">
        <v>204</v>
      </c>
      <c r="C31" s="52" t="s">
        <v>884</v>
      </c>
      <c r="D31" s="52" t="s">
        <v>885</v>
      </c>
      <c r="E31" s="423" t="s">
        <v>893</v>
      </c>
      <c r="F31" s="393" t="s">
        <v>684</v>
      </c>
      <c r="G31" s="52" t="s">
        <v>46</v>
      </c>
      <c r="H31" s="52" t="s">
        <v>370</v>
      </c>
      <c r="I31" s="394" t="s">
        <v>815</v>
      </c>
      <c r="J31" s="394"/>
      <c r="K31" s="330" t="s">
        <v>370</v>
      </c>
      <c r="L31" s="52">
        <v>44369</v>
      </c>
      <c r="M31" s="330">
        <v>44369</v>
      </c>
      <c r="N31" s="52">
        <v>44461</v>
      </c>
      <c r="O31" s="330">
        <v>44461</v>
      </c>
      <c r="P31" s="333" t="e">
        <f>O31-K31</f>
        <v>#VALUE!</v>
      </c>
      <c r="Q31" s="50">
        <f>N31-L31</f>
        <v>92</v>
      </c>
      <c r="R31" s="333">
        <f>O31-M31</f>
        <v>92</v>
      </c>
      <c r="S31" s="52" t="s">
        <v>370</v>
      </c>
      <c r="T31" s="377">
        <v>44399</v>
      </c>
      <c r="U31" s="52">
        <v>44880</v>
      </c>
      <c r="V31" s="50">
        <v>13</v>
      </c>
      <c r="W31" s="50">
        <f>((U31-T31)/7)/4.3</f>
        <v>15.980066445182723</v>
      </c>
      <c r="X31" s="50"/>
      <c r="Y31" s="50"/>
      <c r="Z31" s="50" t="s">
        <v>370</v>
      </c>
      <c r="AA31" s="182">
        <v>12193746.800000001</v>
      </c>
      <c r="AB31" s="211">
        <v>3069014.06</v>
      </c>
      <c r="AC31" s="115">
        <v>532188.35</v>
      </c>
      <c r="AD31" s="115">
        <v>1527507.98</v>
      </c>
      <c r="AE31" s="275">
        <v>1000000</v>
      </c>
      <c r="AF31" s="275">
        <v>1000000</v>
      </c>
      <c r="AG31" s="275">
        <v>1000000</v>
      </c>
      <c r="AH31" s="275">
        <v>1000000</v>
      </c>
      <c r="AI31" s="275">
        <v>1000000</v>
      </c>
      <c r="AJ31" s="275">
        <v>1000000</v>
      </c>
      <c r="AK31" s="275">
        <v>1000000</v>
      </c>
      <c r="AL31" s="275">
        <v>592544.39</v>
      </c>
      <c r="AM31" s="58"/>
      <c r="AN31" s="58"/>
      <c r="AO31" s="53"/>
      <c r="AP31" s="47"/>
      <c r="AQ31" s="53">
        <f>SUM(AB31:AP31)</f>
        <v>12721254.780000001</v>
      </c>
      <c r="AR31" s="51"/>
      <c r="AS31" s="357">
        <f t="shared" si="10"/>
        <v>527507.98000000045</v>
      </c>
    </row>
    <row r="32" spans="1:47" s="36" customFormat="1" ht="15.75" x14ac:dyDescent="0.25">
      <c r="A32" s="99"/>
      <c r="B32" s="99"/>
      <c r="C32" s="91"/>
      <c r="D32" s="91"/>
      <c r="E32" s="467"/>
      <c r="F32" s="391"/>
      <c r="G32" s="91"/>
      <c r="H32" s="91"/>
      <c r="I32" s="395"/>
      <c r="J32" s="395"/>
      <c r="K32" s="91"/>
      <c r="L32" s="91"/>
      <c r="M32" s="91"/>
      <c r="N32" s="91"/>
      <c r="O32" s="91"/>
      <c r="P32" s="92"/>
      <c r="Q32" s="91"/>
      <c r="R32" s="92"/>
      <c r="S32" s="91"/>
      <c r="T32" s="91"/>
      <c r="U32" s="91"/>
      <c r="V32" s="92"/>
      <c r="W32" s="91"/>
      <c r="X32" s="92"/>
      <c r="Y32" s="92"/>
      <c r="Z32" s="92"/>
      <c r="AA32" s="59">
        <f t="shared" ref="AA32:AO32" si="14">SUBTOTAL(9,AA31)</f>
        <v>12193746.800000001</v>
      </c>
      <c r="AB32" s="59">
        <f t="shared" si="14"/>
        <v>3069014.06</v>
      </c>
      <c r="AC32" s="59">
        <f t="shared" si="14"/>
        <v>532188.35</v>
      </c>
      <c r="AD32" s="59">
        <f t="shared" si="14"/>
        <v>1527507.98</v>
      </c>
      <c r="AE32" s="59">
        <f t="shared" si="14"/>
        <v>1000000</v>
      </c>
      <c r="AF32" s="59">
        <f t="shared" si="14"/>
        <v>1000000</v>
      </c>
      <c r="AG32" s="59">
        <f t="shared" si="14"/>
        <v>1000000</v>
      </c>
      <c r="AH32" s="59">
        <f t="shared" si="14"/>
        <v>1000000</v>
      </c>
      <c r="AI32" s="59">
        <f t="shared" si="14"/>
        <v>1000000</v>
      </c>
      <c r="AJ32" s="59">
        <f t="shared" si="14"/>
        <v>1000000</v>
      </c>
      <c r="AK32" s="59">
        <f t="shared" si="14"/>
        <v>1000000</v>
      </c>
      <c r="AL32" s="59">
        <f t="shared" si="14"/>
        <v>592544.39</v>
      </c>
      <c r="AM32" s="59">
        <f t="shared" si="14"/>
        <v>0</v>
      </c>
      <c r="AN32" s="59">
        <f t="shared" si="14"/>
        <v>0</v>
      </c>
      <c r="AO32" s="59">
        <f t="shared" si="14"/>
        <v>0</v>
      </c>
      <c r="AP32" s="47"/>
      <c r="AQ32" s="59">
        <f>SUBTOTAL(9,AQ31)</f>
        <v>12721254.780000001</v>
      </c>
      <c r="AR32" s="51"/>
      <c r="AS32" s="357">
        <f t="shared" si="10"/>
        <v>527507.98000000045</v>
      </c>
    </row>
    <row r="33" spans="1:47" s="36" customFormat="1" ht="15.75" x14ac:dyDescent="0.25">
      <c r="A33" s="381" t="s">
        <v>52</v>
      </c>
      <c r="B33" s="381"/>
      <c r="C33" s="102" t="s">
        <v>875</v>
      </c>
      <c r="D33" s="102"/>
      <c r="E33" s="433"/>
      <c r="F33" s="387"/>
      <c r="G33" s="102"/>
      <c r="H33" s="102"/>
      <c r="I33" s="433"/>
      <c r="J33" s="433"/>
      <c r="K33" s="102"/>
      <c r="L33" s="102"/>
      <c r="M33" s="276"/>
      <c r="N33" s="276"/>
      <c r="O33" s="276"/>
      <c r="P33" s="84"/>
      <c r="Q33" s="276"/>
      <c r="R33" s="84"/>
      <c r="S33" s="102"/>
      <c r="T33" s="102"/>
      <c r="U33" s="102"/>
      <c r="V33" s="84"/>
      <c r="W33" s="102"/>
      <c r="X33" s="102"/>
      <c r="Y33" s="102"/>
      <c r="Z33" s="102"/>
      <c r="AA33" s="102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47"/>
      <c r="AQ33" s="103"/>
      <c r="AR33" s="51"/>
      <c r="AS33" s="357">
        <f t="shared" si="10"/>
        <v>0</v>
      </c>
    </row>
    <row r="34" spans="1:47" s="36" customFormat="1" ht="15.75" x14ac:dyDescent="0.25">
      <c r="A34" s="34" t="s">
        <v>185</v>
      </c>
      <c r="B34" s="34" t="s">
        <v>622</v>
      </c>
      <c r="C34" s="394" t="s">
        <v>875</v>
      </c>
      <c r="D34" s="394" t="s">
        <v>402</v>
      </c>
      <c r="E34" s="394" t="s">
        <v>24</v>
      </c>
      <c r="F34" s="390" t="s">
        <v>696</v>
      </c>
      <c r="G34" s="52" t="s">
        <v>46</v>
      </c>
      <c r="H34" s="52" t="s">
        <v>370</v>
      </c>
      <c r="I34" s="423" t="s">
        <v>324</v>
      </c>
      <c r="J34" s="423"/>
      <c r="K34" s="330" t="s">
        <v>370</v>
      </c>
      <c r="L34" s="52">
        <v>44328</v>
      </c>
      <c r="M34" s="330">
        <v>44328</v>
      </c>
      <c r="N34" s="52">
        <v>44418</v>
      </c>
      <c r="O34" s="330">
        <v>44418</v>
      </c>
      <c r="P34" s="333" t="e">
        <f t="shared" ref="P34:P39" si="15">O34-K34</f>
        <v>#VALUE!</v>
      </c>
      <c r="Q34" s="50">
        <f>N34-L34</f>
        <v>90</v>
      </c>
      <c r="R34" s="333">
        <f>O34-M34</f>
        <v>90</v>
      </c>
      <c r="S34" s="52" t="s">
        <v>370</v>
      </c>
      <c r="T34" s="330">
        <v>44424</v>
      </c>
      <c r="U34" s="52">
        <v>44701</v>
      </c>
      <c r="V34" s="50">
        <v>9</v>
      </c>
      <c r="W34" s="50">
        <f t="shared" ref="W34:W39" si="16">((U34-T34)/7)/4.3</f>
        <v>9.2026578073089702</v>
      </c>
      <c r="X34" s="50"/>
      <c r="Y34" s="50"/>
      <c r="Z34" s="50" t="s">
        <v>370</v>
      </c>
      <c r="AA34" s="182">
        <v>1961015.83</v>
      </c>
      <c r="AB34" s="211">
        <v>952423.7300000001</v>
      </c>
      <c r="AC34" s="115">
        <v>173273.61</v>
      </c>
      <c r="AD34" s="115">
        <v>93239.18</v>
      </c>
      <c r="AE34" s="275">
        <v>200000</v>
      </c>
      <c r="AF34" s="275">
        <v>200000</v>
      </c>
      <c r="AG34" s="275">
        <v>150000</v>
      </c>
      <c r="AH34" s="275">
        <v>85318.49</v>
      </c>
      <c r="AI34" s="58"/>
      <c r="AJ34" s="58"/>
      <c r="AK34" s="58"/>
      <c r="AL34" s="58"/>
      <c r="AM34" s="58"/>
      <c r="AN34" s="58"/>
      <c r="AO34" s="53"/>
      <c r="AP34" s="47"/>
      <c r="AQ34" s="53">
        <f t="shared" ref="AQ34:AQ39" si="17">SUM(AB34:AP34)</f>
        <v>1854255.01</v>
      </c>
      <c r="AR34" s="51"/>
      <c r="AS34" s="357">
        <f t="shared" si="10"/>
        <v>-106760.82000000007</v>
      </c>
      <c r="AU34" s="55"/>
    </row>
    <row r="35" spans="1:47" s="36" customFormat="1" ht="15.75" x14ac:dyDescent="0.25">
      <c r="A35" s="34" t="s">
        <v>593</v>
      </c>
      <c r="B35" s="35" t="s">
        <v>774</v>
      </c>
      <c r="C35" s="52" t="s">
        <v>875</v>
      </c>
      <c r="D35" s="52" t="s">
        <v>402</v>
      </c>
      <c r="E35" s="394" t="s">
        <v>24</v>
      </c>
      <c r="F35" s="35" t="s">
        <v>695</v>
      </c>
      <c r="G35" s="52" t="s">
        <v>46</v>
      </c>
      <c r="H35" s="52" t="s">
        <v>370</v>
      </c>
      <c r="I35" s="422" t="s">
        <v>70</v>
      </c>
      <c r="J35" s="422"/>
      <c r="K35" s="330" t="s">
        <v>370</v>
      </c>
      <c r="L35" s="52">
        <v>44489</v>
      </c>
      <c r="M35" s="330">
        <v>44489</v>
      </c>
      <c r="N35" s="52">
        <v>44540</v>
      </c>
      <c r="O35" s="330">
        <v>44540</v>
      </c>
      <c r="P35" s="333" t="e">
        <f t="shared" si="15"/>
        <v>#VALUE!</v>
      </c>
      <c r="Q35" s="50">
        <f>N35-L35</f>
        <v>51</v>
      </c>
      <c r="R35" s="333">
        <f>O35-M35</f>
        <v>51</v>
      </c>
      <c r="S35" s="52" t="s">
        <v>370</v>
      </c>
      <c r="T35" s="330">
        <v>44552</v>
      </c>
      <c r="U35" s="52">
        <v>44742</v>
      </c>
      <c r="V35" s="50">
        <v>9</v>
      </c>
      <c r="W35" s="50">
        <f t="shared" si="16"/>
        <v>6.3122923588039868</v>
      </c>
      <c r="X35" s="50"/>
      <c r="Y35" s="50"/>
      <c r="Z35" s="50" t="s">
        <v>370</v>
      </c>
      <c r="AA35" s="182">
        <v>762952.96</v>
      </c>
      <c r="AB35" s="211">
        <v>92185.59</v>
      </c>
      <c r="AC35" s="115">
        <v>111281.22</v>
      </c>
      <c r="AD35" s="115">
        <v>64974.74</v>
      </c>
      <c r="AE35" s="275">
        <v>125000</v>
      </c>
      <c r="AF35" s="275">
        <v>125000</v>
      </c>
      <c r="AG35" s="275">
        <v>125000</v>
      </c>
      <c r="AH35" s="275">
        <v>84486.15</v>
      </c>
      <c r="AI35" s="58"/>
      <c r="AJ35" s="58"/>
      <c r="AK35" s="58"/>
      <c r="AL35" s="58"/>
      <c r="AM35" s="58"/>
      <c r="AN35" s="58"/>
      <c r="AO35" s="53"/>
      <c r="AP35" s="47"/>
      <c r="AQ35" s="53">
        <f t="shared" si="17"/>
        <v>727927.70000000007</v>
      </c>
      <c r="AR35" s="51"/>
      <c r="AS35" s="357">
        <f t="shared" si="10"/>
        <v>-35025.259999999893</v>
      </c>
      <c r="AU35" s="55"/>
    </row>
    <row r="36" spans="1:47" s="36" customFormat="1" ht="15.75" x14ac:dyDescent="0.25">
      <c r="A36" s="34" t="s">
        <v>594</v>
      </c>
      <c r="B36" s="35" t="s">
        <v>595</v>
      </c>
      <c r="C36" s="52" t="s">
        <v>875</v>
      </c>
      <c r="D36" s="52" t="s">
        <v>24</v>
      </c>
      <c r="E36" s="422" t="s">
        <v>24</v>
      </c>
      <c r="F36" s="35"/>
      <c r="G36" s="52" t="s">
        <v>46</v>
      </c>
      <c r="H36" s="52" t="s">
        <v>370</v>
      </c>
      <c r="I36" s="422" t="s">
        <v>816</v>
      </c>
      <c r="J36" s="422"/>
      <c r="K36" s="330" t="s">
        <v>370</v>
      </c>
      <c r="L36" s="333" t="s">
        <v>24</v>
      </c>
      <c r="M36" s="333" t="s">
        <v>24</v>
      </c>
      <c r="N36" s="333" t="s">
        <v>24</v>
      </c>
      <c r="O36" s="333" t="s">
        <v>24</v>
      </c>
      <c r="P36" s="333" t="s">
        <v>24</v>
      </c>
      <c r="Q36" s="333" t="s">
        <v>24</v>
      </c>
      <c r="R36" s="333" t="s">
        <v>24</v>
      </c>
      <c r="S36" s="52" t="s">
        <v>320</v>
      </c>
      <c r="T36" s="52"/>
      <c r="U36" s="52"/>
      <c r="V36" s="50">
        <v>0</v>
      </c>
      <c r="W36" s="496">
        <f t="shared" si="16"/>
        <v>0</v>
      </c>
      <c r="X36" s="50"/>
      <c r="Y36" s="50"/>
      <c r="Z36" s="50" t="s">
        <v>320</v>
      </c>
      <c r="AA36" s="182">
        <v>0</v>
      </c>
      <c r="AB36" s="211">
        <v>0</v>
      </c>
      <c r="AC36" s="115">
        <v>0</v>
      </c>
      <c r="AD36" s="115">
        <v>0</v>
      </c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3"/>
      <c r="AP36" s="47"/>
      <c r="AQ36" s="53">
        <f t="shared" si="17"/>
        <v>0</v>
      </c>
      <c r="AR36" s="51"/>
      <c r="AS36" s="357">
        <f t="shared" si="10"/>
        <v>0</v>
      </c>
      <c r="AU36" s="55"/>
    </row>
    <row r="37" spans="1:47" s="36" customFormat="1" ht="15.75" x14ac:dyDescent="0.25">
      <c r="A37" s="60" t="s">
        <v>724</v>
      </c>
      <c r="B37" s="61" t="s">
        <v>654</v>
      </c>
      <c r="C37" s="52" t="s">
        <v>874</v>
      </c>
      <c r="D37" s="52" t="s">
        <v>873</v>
      </c>
      <c r="E37" s="422" t="s">
        <v>24</v>
      </c>
      <c r="F37" s="61"/>
      <c r="G37" s="52" t="s">
        <v>46</v>
      </c>
      <c r="H37" s="52" t="s">
        <v>370</v>
      </c>
      <c r="I37" s="422" t="s">
        <v>827</v>
      </c>
      <c r="J37" s="422"/>
      <c r="K37" s="330">
        <v>44574</v>
      </c>
      <c r="L37" s="52">
        <v>44543</v>
      </c>
      <c r="M37" s="330">
        <v>44575</v>
      </c>
      <c r="N37" s="52">
        <v>44578</v>
      </c>
      <c r="O37" s="497">
        <v>44615</v>
      </c>
      <c r="P37" s="498">
        <f t="shared" si="15"/>
        <v>41</v>
      </c>
      <c r="Q37" s="50">
        <f t="shared" ref="Q37:R39" si="18">N37-L37</f>
        <v>35</v>
      </c>
      <c r="R37" s="333">
        <f t="shared" si="18"/>
        <v>40</v>
      </c>
      <c r="S37" s="52" t="s">
        <v>370</v>
      </c>
      <c r="T37" s="330">
        <v>44620</v>
      </c>
      <c r="U37" s="52">
        <v>44820</v>
      </c>
      <c r="V37" s="50">
        <v>9.0000000000000497</v>
      </c>
      <c r="W37" s="50">
        <f t="shared" si="16"/>
        <v>6.6445182724252501</v>
      </c>
      <c r="X37" s="50"/>
      <c r="Y37" s="50"/>
      <c r="Z37" s="50"/>
      <c r="AA37" s="53">
        <v>1500000</v>
      </c>
      <c r="AB37" s="211">
        <v>0</v>
      </c>
      <c r="AC37" s="115">
        <v>0</v>
      </c>
      <c r="AD37" s="115">
        <v>192361.11</v>
      </c>
      <c r="AE37" s="275">
        <v>50000</v>
      </c>
      <c r="AF37" s="275">
        <v>100000</v>
      </c>
      <c r="AG37" s="275">
        <v>150000</v>
      </c>
      <c r="AH37" s="275">
        <v>175000</v>
      </c>
      <c r="AI37" s="275">
        <v>175000</v>
      </c>
      <c r="AJ37" s="275">
        <v>175000</v>
      </c>
      <c r="AK37" s="275">
        <v>175000</v>
      </c>
      <c r="AL37" s="275">
        <v>175000</v>
      </c>
      <c r="AM37" s="275">
        <v>175000</v>
      </c>
      <c r="AN37" s="275">
        <v>150000</v>
      </c>
      <c r="AO37" s="53"/>
      <c r="AP37" s="47"/>
      <c r="AQ37" s="53">
        <f t="shared" si="17"/>
        <v>1692361.1099999999</v>
      </c>
      <c r="AR37" s="51"/>
      <c r="AS37" s="357">
        <f t="shared" si="10"/>
        <v>192361.10999999987</v>
      </c>
    </row>
    <row r="38" spans="1:47" s="36" customFormat="1" ht="15.75" x14ac:dyDescent="0.25">
      <c r="A38" s="374" t="s">
        <v>725</v>
      </c>
      <c r="B38" s="375" t="s">
        <v>927</v>
      </c>
      <c r="C38" s="52" t="s">
        <v>874</v>
      </c>
      <c r="D38" s="52" t="s">
        <v>873</v>
      </c>
      <c r="E38" s="422" t="s">
        <v>24</v>
      </c>
      <c r="F38" s="34"/>
      <c r="G38" s="52" t="s">
        <v>623</v>
      </c>
      <c r="H38" s="52" t="s">
        <v>320</v>
      </c>
      <c r="I38" s="52" t="s">
        <v>827</v>
      </c>
      <c r="J38" s="52"/>
      <c r="K38" s="330">
        <v>44574</v>
      </c>
      <c r="L38" s="52">
        <v>44575</v>
      </c>
      <c r="M38" s="330">
        <v>44610</v>
      </c>
      <c r="N38" s="52">
        <v>44620</v>
      </c>
      <c r="O38" s="330">
        <v>44636</v>
      </c>
      <c r="P38" s="333">
        <f t="shared" si="15"/>
        <v>62</v>
      </c>
      <c r="Q38" s="50">
        <f t="shared" si="18"/>
        <v>45</v>
      </c>
      <c r="R38" s="333">
        <f t="shared" si="18"/>
        <v>26</v>
      </c>
      <c r="S38" s="52" t="s">
        <v>370</v>
      </c>
      <c r="T38" s="376">
        <f>O38+90</f>
        <v>44726</v>
      </c>
      <c r="U38" s="276">
        <f>T38+(4*4.3*7)</f>
        <v>44846.400000000001</v>
      </c>
      <c r="V38" s="50">
        <v>4.0000000000000488</v>
      </c>
      <c r="W38" s="50">
        <f t="shared" si="16"/>
        <v>4.0000000000000488</v>
      </c>
      <c r="X38" s="50"/>
      <c r="Y38" s="50"/>
      <c r="Z38" s="50"/>
      <c r="AA38" s="53">
        <v>350000</v>
      </c>
      <c r="AB38" s="211">
        <v>0</v>
      </c>
      <c r="AC38" s="115">
        <v>0</v>
      </c>
      <c r="AD38" s="115">
        <v>0</v>
      </c>
      <c r="AE38" s="275">
        <v>150000</v>
      </c>
      <c r="AF38" s="275">
        <v>150000</v>
      </c>
      <c r="AG38" s="275">
        <v>50000</v>
      </c>
      <c r="AH38" s="58"/>
      <c r="AI38" s="58"/>
      <c r="AJ38" s="58"/>
      <c r="AK38" s="58"/>
      <c r="AL38" s="58"/>
      <c r="AM38" s="58"/>
      <c r="AN38" s="58"/>
      <c r="AO38" s="53"/>
      <c r="AP38" s="47"/>
      <c r="AQ38" s="53">
        <f t="shared" si="17"/>
        <v>350000</v>
      </c>
      <c r="AR38" s="51"/>
      <c r="AS38" s="357">
        <f t="shared" si="10"/>
        <v>0</v>
      </c>
    </row>
    <row r="39" spans="1:47" s="36" customFormat="1" ht="15.75" x14ac:dyDescent="0.25">
      <c r="A39" s="374" t="s">
        <v>726</v>
      </c>
      <c r="B39" s="374" t="s">
        <v>897</v>
      </c>
      <c r="C39" s="52" t="s">
        <v>874</v>
      </c>
      <c r="D39" s="52" t="s">
        <v>873</v>
      </c>
      <c r="E39" s="422" t="s">
        <v>24</v>
      </c>
      <c r="F39" s="34"/>
      <c r="G39" s="52" t="s">
        <v>623</v>
      </c>
      <c r="H39" s="52" t="s">
        <v>320</v>
      </c>
      <c r="I39" s="52" t="s">
        <v>827</v>
      </c>
      <c r="J39" s="52"/>
      <c r="K39" s="330">
        <v>44574</v>
      </c>
      <c r="L39" s="52">
        <v>44575</v>
      </c>
      <c r="M39" s="330">
        <v>44610</v>
      </c>
      <c r="N39" s="52">
        <v>44620</v>
      </c>
      <c r="O39" s="330">
        <v>44636</v>
      </c>
      <c r="P39" s="333">
        <f t="shared" si="15"/>
        <v>62</v>
      </c>
      <c r="Q39" s="50">
        <f t="shared" si="18"/>
        <v>45</v>
      </c>
      <c r="R39" s="333">
        <f t="shared" si="18"/>
        <v>26</v>
      </c>
      <c r="S39" s="52" t="s">
        <v>370</v>
      </c>
      <c r="T39" s="376">
        <f>O39+100</f>
        <v>44736</v>
      </c>
      <c r="U39" s="276">
        <f>T39+(4*4.3*7)</f>
        <v>44856.4</v>
      </c>
      <c r="V39" s="50">
        <v>4.0000000000000488</v>
      </c>
      <c r="W39" s="50">
        <f t="shared" si="16"/>
        <v>4.0000000000000488</v>
      </c>
      <c r="X39" s="50"/>
      <c r="Y39" s="50"/>
      <c r="Z39" s="50"/>
      <c r="AA39" s="53">
        <v>450000</v>
      </c>
      <c r="AB39" s="211">
        <v>0</v>
      </c>
      <c r="AC39" s="115">
        <v>0</v>
      </c>
      <c r="AD39" s="115">
        <v>0</v>
      </c>
      <c r="AE39" s="58"/>
      <c r="AF39" s="275">
        <v>50000</v>
      </c>
      <c r="AG39" s="275">
        <v>75000</v>
      </c>
      <c r="AH39" s="275">
        <v>75000</v>
      </c>
      <c r="AI39" s="275">
        <v>75000</v>
      </c>
      <c r="AJ39" s="275">
        <v>75000</v>
      </c>
      <c r="AK39" s="275">
        <v>75000</v>
      </c>
      <c r="AL39" s="275">
        <v>25000</v>
      </c>
      <c r="AM39" s="58"/>
      <c r="AN39" s="58"/>
      <c r="AO39" s="53"/>
      <c r="AP39" s="47"/>
      <c r="AQ39" s="53">
        <f t="shared" si="17"/>
        <v>450000</v>
      </c>
      <c r="AR39" s="51"/>
      <c r="AS39" s="357">
        <f t="shared" si="10"/>
        <v>0</v>
      </c>
    </row>
    <row r="40" spans="1:47" s="36" customFormat="1" ht="15.75" x14ac:dyDescent="0.25">
      <c r="A40" s="99"/>
      <c r="B40" s="99"/>
      <c r="C40" s="395"/>
      <c r="D40" s="395"/>
      <c r="E40" s="499"/>
      <c r="F40" s="391"/>
      <c r="G40" s="91"/>
      <c r="H40" s="91"/>
      <c r="I40" s="467"/>
      <c r="J40" s="467"/>
      <c r="K40" s="91"/>
      <c r="L40" s="91"/>
      <c r="M40" s="91"/>
      <c r="N40" s="91"/>
      <c r="O40" s="91"/>
      <c r="P40" s="92"/>
      <c r="Q40" s="91"/>
      <c r="R40" s="92"/>
      <c r="S40" s="91"/>
      <c r="T40" s="91"/>
      <c r="U40" s="91"/>
      <c r="V40" s="92"/>
      <c r="W40" s="91"/>
      <c r="X40" s="92"/>
      <c r="Y40" s="92"/>
      <c r="Z40" s="92"/>
      <c r="AA40" s="448">
        <f t="shared" ref="AA40:AO40" si="19">SUBTOTAL(9,AA34:AA39)</f>
        <v>5023968.79</v>
      </c>
      <c r="AB40" s="448">
        <f t="shared" si="19"/>
        <v>1044609.3200000001</v>
      </c>
      <c r="AC40" s="448">
        <f t="shared" si="19"/>
        <v>284554.82999999996</v>
      </c>
      <c r="AD40" s="448">
        <f t="shared" si="19"/>
        <v>350575.02999999997</v>
      </c>
      <c r="AE40" s="448">
        <f t="shared" si="19"/>
        <v>525000</v>
      </c>
      <c r="AF40" s="448">
        <f t="shared" si="19"/>
        <v>625000</v>
      </c>
      <c r="AG40" s="448">
        <f t="shared" si="19"/>
        <v>550000</v>
      </c>
      <c r="AH40" s="448">
        <f t="shared" si="19"/>
        <v>419804.64</v>
      </c>
      <c r="AI40" s="448">
        <f t="shared" si="19"/>
        <v>250000</v>
      </c>
      <c r="AJ40" s="448">
        <f t="shared" si="19"/>
        <v>250000</v>
      </c>
      <c r="AK40" s="448">
        <f t="shared" si="19"/>
        <v>250000</v>
      </c>
      <c r="AL40" s="448">
        <f t="shared" si="19"/>
        <v>200000</v>
      </c>
      <c r="AM40" s="448">
        <f t="shared" si="19"/>
        <v>175000</v>
      </c>
      <c r="AN40" s="448">
        <f t="shared" si="19"/>
        <v>150000</v>
      </c>
      <c r="AO40" s="448">
        <f t="shared" si="19"/>
        <v>0</v>
      </c>
      <c r="AP40" s="449"/>
      <c r="AQ40" s="448">
        <f>SUBTOTAL(9,AQ34:AQ39)</f>
        <v>5074543.82</v>
      </c>
      <c r="AR40" s="450"/>
      <c r="AS40" s="357">
        <f t="shared" si="10"/>
        <v>50575.030000000261</v>
      </c>
      <c r="AU40" s="55"/>
    </row>
    <row r="41" spans="1:47" s="36" customFormat="1" ht="15.75" x14ac:dyDescent="0.25">
      <c r="A41" s="381" t="s">
        <v>517</v>
      </c>
      <c r="B41" s="106"/>
      <c r="C41" s="102" t="s">
        <v>708</v>
      </c>
      <c r="D41" s="102"/>
      <c r="E41" s="420"/>
      <c r="F41" s="106"/>
      <c r="G41" s="102"/>
      <c r="H41" s="102"/>
      <c r="I41" s="101"/>
      <c r="J41" s="101"/>
      <c r="K41" s="102"/>
      <c r="L41" s="102"/>
      <c r="M41" s="276"/>
      <c r="N41" s="276"/>
      <c r="O41" s="276"/>
      <c r="P41" s="84"/>
      <c r="Q41" s="276"/>
      <c r="R41" s="84"/>
      <c r="S41" s="102"/>
      <c r="T41" s="102"/>
      <c r="U41" s="102"/>
      <c r="V41" s="84"/>
      <c r="W41" s="102"/>
      <c r="X41" s="102"/>
      <c r="Y41" s="102"/>
      <c r="Z41" s="102"/>
      <c r="AA41" s="102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47"/>
      <c r="AQ41" s="103"/>
      <c r="AR41" s="51"/>
      <c r="AS41" s="357">
        <f t="shared" si="10"/>
        <v>0</v>
      </c>
    </row>
    <row r="42" spans="1:47" s="36" customFormat="1" ht="15.75" x14ac:dyDescent="0.25">
      <c r="A42" s="319" t="s">
        <v>544</v>
      </c>
      <c r="B42" s="320" t="s">
        <v>670</v>
      </c>
      <c r="C42" s="321" t="s">
        <v>708</v>
      </c>
      <c r="D42" s="321" t="s">
        <v>708</v>
      </c>
      <c r="E42" s="428" t="s">
        <v>24</v>
      </c>
      <c r="F42" s="320" t="s">
        <v>742</v>
      </c>
      <c r="G42" s="321" t="s">
        <v>46</v>
      </c>
      <c r="H42" s="321" t="s">
        <v>370</v>
      </c>
      <c r="I42" s="428" t="s">
        <v>236</v>
      </c>
      <c r="J42" s="428"/>
      <c r="K42" s="332" t="s">
        <v>370</v>
      </c>
      <c r="L42" s="321">
        <v>44440</v>
      </c>
      <c r="M42" s="332">
        <v>44440</v>
      </c>
      <c r="N42" s="321">
        <v>44455</v>
      </c>
      <c r="O42" s="332">
        <v>44455</v>
      </c>
      <c r="P42" s="343" t="e">
        <f t="shared" ref="P42:P48" si="20">O42-K42</f>
        <v>#VALUE!</v>
      </c>
      <c r="Q42" s="322">
        <f t="shared" ref="Q42:R48" si="21">N42-L42</f>
        <v>15</v>
      </c>
      <c r="R42" s="343">
        <f t="shared" si="21"/>
        <v>15</v>
      </c>
      <c r="S42" s="321"/>
      <c r="T42" s="332">
        <v>44461</v>
      </c>
      <c r="U42" s="332">
        <v>44486</v>
      </c>
      <c r="V42" s="343">
        <v>1</v>
      </c>
      <c r="W42" s="322">
        <f t="shared" ref="W42:W48" si="22">((U42-T42)/7)/4.3</f>
        <v>0.83056478405315626</v>
      </c>
      <c r="X42" s="322"/>
      <c r="Y42" s="322"/>
      <c r="Z42" s="322" t="s">
        <v>370</v>
      </c>
      <c r="AA42" s="323">
        <v>27626.400000000001</v>
      </c>
      <c r="AB42" s="211">
        <v>11493</v>
      </c>
      <c r="AC42" s="115">
        <v>16133.4</v>
      </c>
      <c r="AD42" s="115">
        <v>0</v>
      </c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3"/>
      <c r="AP42" s="47"/>
      <c r="AQ42" s="53">
        <f t="shared" ref="AQ42:AQ49" si="23">SUM(AB42:AP42)</f>
        <v>27626.400000000001</v>
      </c>
      <c r="AR42" s="51"/>
      <c r="AS42" s="357">
        <f t="shared" si="10"/>
        <v>0</v>
      </c>
      <c r="AU42" s="55"/>
    </row>
    <row r="43" spans="1:47" s="36" customFormat="1" ht="15.75" x14ac:dyDescent="0.25">
      <c r="A43" s="60" t="s">
        <v>208</v>
      </c>
      <c r="B43" s="61" t="s">
        <v>480</v>
      </c>
      <c r="C43" s="52" t="s">
        <v>708</v>
      </c>
      <c r="D43" s="52" t="s">
        <v>402</v>
      </c>
      <c r="E43" s="423" t="s">
        <v>890</v>
      </c>
      <c r="F43" s="61" t="s">
        <v>694</v>
      </c>
      <c r="G43" s="52" t="s">
        <v>46</v>
      </c>
      <c r="H43" s="52" t="s">
        <v>370</v>
      </c>
      <c r="I43" s="423" t="s">
        <v>823</v>
      </c>
      <c r="J43" s="423"/>
      <c r="K43" s="330" t="s">
        <v>370</v>
      </c>
      <c r="L43" s="52">
        <v>44519</v>
      </c>
      <c r="M43" s="330">
        <v>44519</v>
      </c>
      <c r="N43" s="52">
        <v>44567</v>
      </c>
      <c r="O43" s="330">
        <v>44606</v>
      </c>
      <c r="P43" s="333" t="e">
        <f t="shared" si="20"/>
        <v>#VALUE!</v>
      </c>
      <c r="Q43" s="50">
        <f t="shared" si="21"/>
        <v>48</v>
      </c>
      <c r="R43" s="333">
        <f t="shared" si="21"/>
        <v>87</v>
      </c>
      <c r="S43" s="52" t="s">
        <v>370</v>
      </c>
      <c r="T43" s="330">
        <v>44613</v>
      </c>
      <c r="U43" s="52">
        <v>44895</v>
      </c>
      <c r="V43" s="50">
        <v>9.0000000000000497</v>
      </c>
      <c r="W43" s="50">
        <f t="shared" si="22"/>
        <v>9.368770764119601</v>
      </c>
      <c r="X43" s="50"/>
      <c r="Y43" s="50"/>
      <c r="Z43" s="50"/>
      <c r="AA43" s="58">
        <v>2200000</v>
      </c>
      <c r="AB43" s="211">
        <v>0</v>
      </c>
      <c r="AC43" s="115">
        <v>0</v>
      </c>
      <c r="AD43" s="115">
        <v>212179</v>
      </c>
      <c r="AE43" s="275">
        <v>225000</v>
      </c>
      <c r="AF43" s="275">
        <v>250000</v>
      </c>
      <c r="AG43" s="275">
        <v>275000</v>
      </c>
      <c r="AH43" s="275">
        <v>300000</v>
      </c>
      <c r="AI43" s="275">
        <v>250000</v>
      </c>
      <c r="AJ43" s="275">
        <v>250000</v>
      </c>
      <c r="AK43" s="275">
        <v>250000</v>
      </c>
      <c r="AL43" s="275">
        <v>200000</v>
      </c>
      <c r="AM43" s="58"/>
      <c r="AN43" s="58"/>
      <c r="AO43" s="58"/>
      <c r="AP43" s="47"/>
      <c r="AQ43" s="58">
        <f t="shared" si="23"/>
        <v>2212179</v>
      </c>
      <c r="AR43" s="51"/>
      <c r="AS43" s="357">
        <f t="shared" si="10"/>
        <v>12179</v>
      </c>
    </row>
    <row r="44" spans="1:47" s="36" customFormat="1" ht="15.75" x14ac:dyDescent="0.25">
      <c r="A44" s="60" t="s">
        <v>727</v>
      </c>
      <c r="B44" s="61" t="s">
        <v>653</v>
      </c>
      <c r="C44" s="52" t="s">
        <v>708</v>
      </c>
      <c r="D44" s="52" t="s">
        <v>633</v>
      </c>
      <c r="E44" s="423" t="s">
        <v>24</v>
      </c>
      <c r="F44" s="61"/>
      <c r="G44" s="52" t="s">
        <v>46</v>
      </c>
      <c r="H44" s="52" t="s">
        <v>370</v>
      </c>
      <c r="I44" s="423" t="s">
        <v>828</v>
      </c>
      <c r="J44" s="423"/>
      <c r="K44" s="330">
        <v>44575</v>
      </c>
      <c r="L44" s="52">
        <v>44543</v>
      </c>
      <c r="M44" s="330">
        <v>44575</v>
      </c>
      <c r="N44" s="52">
        <v>44574</v>
      </c>
      <c r="O44" s="330">
        <v>44582</v>
      </c>
      <c r="P44" s="333">
        <f t="shared" si="20"/>
        <v>7</v>
      </c>
      <c r="Q44" s="50">
        <f t="shared" si="21"/>
        <v>31</v>
      </c>
      <c r="R44" s="333">
        <f t="shared" si="21"/>
        <v>7</v>
      </c>
      <c r="S44" s="52" t="s">
        <v>370</v>
      </c>
      <c r="T44" s="330">
        <v>44606</v>
      </c>
      <c r="U44" s="52">
        <v>44792</v>
      </c>
      <c r="V44" s="50">
        <v>8.0000000000000977</v>
      </c>
      <c r="W44" s="50">
        <f t="shared" si="22"/>
        <v>6.1794019933554827</v>
      </c>
      <c r="X44" s="50"/>
      <c r="Y44" s="50"/>
      <c r="Z44" s="50"/>
      <c r="AA44" s="58">
        <v>1200000</v>
      </c>
      <c r="AB44" s="211">
        <v>0</v>
      </c>
      <c r="AC44" s="115">
        <v>0</v>
      </c>
      <c r="AD44" s="115">
        <v>240339.47999999998</v>
      </c>
      <c r="AE44" s="275">
        <v>75000</v>
      </c>
      <c r="AF44" s="275">
        <v>150000</v>
      </c>
      <c r="AG44" s="275">
        <v>150000</v>
      </c>
      <c r="AH44" s="275">
        <v>200000</v>
      </c>
      <c r="AI44" s="275">
        <v>200000</v>
      </c>
      <c r="AJ44" s="275">
        <v>200000</v>
      </c>
      <c r="AK44" s="275">
        <v>175000</v>
      </c>
      <c r="AL44" s="58"/>
      <c r="AM44" s="58"/>
      <c r="AN44" s="58"/>
      <c r="AO44" s="58"/>
      <c r="AP44" s="47"/>
      <c r="AQ44" s="58">
        <f t="shared" si="23"/>
        <v>1390339.48</v>
      </c>
      <c r="AR44" s="51"/>
      <c r="AS44" s="357">
        <f t="shared" si="10"/>
        <v>190339.47999999998</v>
      </c>
    </row>
    <row r="45" spans="1:47" s="36" customFormat="1" ht="15.75" x14ac:dyDescent="0.25">
      <c r="A45" s="374" t="s">
        <v>729</v>
      </c>
      <c r="B45" s="374" t="s">
        <v>730</v>
      </c>
      <c r="C45" s="52" t="s">
        <v>708</v>
      </c>
      <c r="D45" s="52" t="s">
        <v>633</v>
      </c>
      <c r="E45" s="422" t="s">
        <v>24</v>
      </c>
      <c r="F45" s="35"/>
      <c r="G45" s="52" t="s">
        <v>623</v>
      </c>
      <c r="H45" s="52" t="s">
        <v>320</v>
      </c>
      <c r="I45" s="422" t="s">
        <v>828</v>
      </c>
      <c r="J45" s="422"/>
      <c r="K45" s="330">
        <v>44575</v>
      </c>
      <c r="L45" s="52">
        <v>44560</v>
      </c>
      <c r="M45" s="330">
        <v>44608</v>
      </c>
      <c r="N45" s="52">
        <v>44636</v>
      </c>
      <c r="O45" s="500">
        <v>44643</v>
      </c>
      <c r="P45" s="50">
        <f t="shared" si="20"/>
        <v>68</v>
      </c>
      <c r="Q45" s="50">
        <f t="shared" si="21"/>
        <v>76</v>
      </c>
      <c r="R45" s="50">
        <f t="shared" si="21"/>
        <v>35</v>
      </c>
      <c r="S45" s="52" t="s">
        <v>320</v>
      </c>
      <c r="T45" s="376">
        <f>O45+65</f>
        <v>44708</v>
      </c>
      <c r="U45" s="276">
        <f>T45+(4*4.3*7)</f>
        <v>44828.4</v>
      </c>
      <c r="V45" s="50">
        <v>4.0000000000000488</v>
      </c>
      <c r="W45" s="50">
        <f t="shared" si="22"/>
        <v>4.0000000000000488</v>
      </c>
      <c r="X45" s="50"/>
      <c r="Y45" s="50"/>
      <c r="Z45" s="50"/>
      <c r="AA45" s="53">
        <v>350000</v>
      </c>
      <c r="AB45" s="211">
        <v>0</v>
      </c>
      <c r="AC45" s="115">
        <v>0</v>
      </c>
      <c r="AD45" s="115">
        <v>0</v>
      </c>
      <c r="AE45" s="275">
        <v>50000</v>
      </c>
      <c r="AF45" s="275">
        <v>75000</v>
      </c>
      <c r="AG45" s="275">
        <v>100000</v>
      </c>
      <c r="AH45" s="275">
        <v>100000</v>
      </c>
      <c r="AI45" s="275">
        <v>25000</v>
      </c>
      <c r="AJ45" s="58"/>
      <c r="AK45" s="58"/>
      <c r="AL45" s="58"/>
      <c r="AM45" s="58"/>
      <c r="AN45" s="58"/>
      <c r="AO45" s="53"/>
      <c r="AP45" s="47"/>
      <c r="AQ45" s="53">
        <f t="shared" si="23"/>
        <v>350000</v>
      </c>
      <c r="AR45" s="51"/>
      <c r="AS45" s="357">
        <f t="shared" si="10"/>
        <v>0</v>
      </c>
      <c r="AU45" s="55"/>
    </row>
    <row r="46" spans="1:47" s="36" customFormat="1" ht="15.75" x14ac:dyDescent="0.25">
      <c r="A46" s="34" t="s">
        <v>150</v>
      </c>
      <c r="B46" s="34" t="s">
        <v>151</v>
      </c>
      <c r="C46" s="52" t="s">
        <v>708</v>
      </c>
      <c r="D46" s="52" t="s">
        <v>704</v>
      </c>
      <c r="E46" s="426" t="s">
        <v>24</v>
      </c>
      <c r="F46" s="389" t="s">
        <v>709</v>
      </c>
      <c r="G46" s="52" t="s">
        <v>46</v>
      </c>
      <c r="H46" s="52" t="s">
        <v>370</v>
      </c>
      <c r="I46" s="426" t="s">
        <v>820</v>
      </c>
      <c r="J46" s="426"/>
      <c r="K46" s="330" t="s">
        <v>370</v>
      </c>
      <c r="L46" s="52">
        <v>44369</v>
      </c>
      <c r="M46" s="330">
        <v>44369</v>
      </c>
      <c r="N46" s="52">
        <v>44509</v>
      </c>
      <c r="O46" s="330">
        <v>44509</v>
      </c>
      <c r="P46" s="333" t="e">
        <f t="shared" si="20"/>
        <v>#VALUE!</v>
      </c>
      <c r="Q46" s="50">
        <f t="shared" si="21"/>
        <v>140</v>
      </c>
      <c r="R46" s="333">
        <f t="shared" si="21"/>
        <v>140</v>
      </c>
      <c r="S46" s="52" t="s">
        <v>370</v>
      </c>
      <c r="T46" s="330">
        <v>44517</v>
      </c>
      <c r="U46" s="52">
        <v>44713</v>
      </c>
      <c r="V46" s="50">
        <v>7</v>
      </c>
      <c r="W46" s="50">
        <f t="shared" si="22"/>
        <v>6.5116279069767442</v>
      </c>
      <c r="X46" s="50"/>
      <c r="Y46" s="50"/>
      <c r="Z46" s="50" t="s">
        <v>370</v>
      </c>
      <c r="AA46" s="181">
        <v>1910049.56</v>
      </c>
      <c r="AB46" s="211">
        <v>892016.83</v>
      </c>
      <c r="AC46" s="115">
        <v>304883.09000000003</v>
      </c>
      <c r="AD46" s="115">
        <v>284226.25</v>
      </c>
      <c r="AE46" s="275">
        <v>300000</v>
      </c>
      <c r="AF46" s="275">
        <v>113149.64</v>
      </c>
      <c r="AG46" s="58"/>
      <c r="AH46" s="58"/>
      <c r="AI46" s="58"/>
      <c r="AJ46" s="58"/>
      <c r="AK46" s="58"/>
      <c r="AL46" s="58"/>
      <c r="AM46" s="58"/>
      <c r="AN46" s="58"/>
      <c r="AO46" s="58"/>
      <c r="AP46" s="47"/>
      <c r="AQ46" s="58">
        <f t="shared" si="23"/>
        <v>1894275.8099999998</v>
      </c>
      <c r="AR46" s="51"/>
      <c r="AS46" s="357">
        <f t="shared" si="10"/>
        <v>-15773.750000000233</v>
      </c>
    </row>
    <row r="47" spans="1:47" s="36" customFormat="1" ht="15.75" x14ac:dyDescent="0.25">
      <c r="A47" s="34" t="s">
        <v>153</v>
      </c>
      <c r="B47" s="34" t="s">
        <v>424</v>
      </c>
      <c r="C47" s="394" t="s">
        <v>708</v>
      </c>
      <c r="D47" s="394" t="s">
        <v>704</v>
      </c>
      <c r="E47" s="394" t="s">
        <v>24</v>
      </c>
      <c r="F47" s="407" t="s">
        <v>710</v>
      </c>
      <c r="G47" s="52" t="s">
        <v>46</v>
      </c>
      <c r="H47" s="52" t="s">
        <v>370</v>
      </c>
      <c r="I47" s="394" t="s">
        <v>820</v>
      </c>
      <c r="J47" s="394"/>
      <c r="K47" s="330" t="s">
        <v>370</v>
      </c>
      <c r="L47" s="52">
        <v>44551</v>
      </c>
      <c r="M47" s="330">
        <v>44543</v>
      </c>
      <c r="N47" s="52">
        <v>44588</v>
      </c>
      <c r="O47" s="330">
        <v>44585</v>
      </c>
      <c r="P47" s="333" t="e">
        <f t="shared" si="20"/>
        <v>#VALUE!</v>
      </c>
      <c r="Q47" s="50">
        <f t="shared" si="21"/>
        <v>37</v>
      </c>
      <c r="R47" s="333">
        <f t="shared" si="21"/>
        <v>42</v>
      </c>
      <c r="S47" s="52" t="s">
        <v>370</v>
      </c>
      <c r="T47" s="330">
        <v>44599</v>
      </c>
      <c r="U47" s="52">
        <f>T47+145</f>
        <v>44744</v>
      </c>
      <c r="V47" s="50">
        <v>3</v>
      </c>
      <c r="W47" s="50">
        <f t="shared" si="22"/>
        <v>4.8172757475083063</v>
      </c>
      <c r="X47" s="50"/>
      <c r="Y47" s="50"/>
      <c r="Z47" s="50" t="s">
        <v>370</v>
      </c>
      <c r="AA47" s="181">
        <v>288979.20000000001</v>
      </c>
      <c r="AB47" s="211">
        <v>17537.689999999999</v>
      </c>
      <c r="AC47" s="115">
        <v>0</v>
      </c>
      <c r="AD47" s="115">
        <v>0</v>
      </c>
      <c r="AE47" s="275">
        <v>90000</v>
      </c>
      <c r="AF47" s="275">
        <v>90000</v>
      </c>
      <c r="AG47" s="275">
        <v>31441.51</v>
      </c>
      <c r="AH47" s="58"/>
      <c r="AI47" s="58"/>
      <c r="AJ47" s="58"/>
      <c r="AK47" s="58"/>
      <c r="AL47" s="58"/>
      <c r="AM47" s="58"/>
      <c r="AN47" s="58"/>
      <c r="AO47" s="58"/>
      <c r="AP47" s="47"/>
      <c r="AQ47" s="58">
        <f t="shared" si="23"/>
        <v>228979.20000000001</v>
      </c>
      <c r="AR47" s="51"/>
      <c r="AS47" s="357">
        <f t="shared" si="10"/>
        <v>-60000</v>
      </c>
      <c r="AU47" s="55"/>
    </row>
    <row r="48" spans="1:47" s="36" customFormat="1" ht="15.75" x14ac:dyDescent="0.25">
      <c r="A48" s="34" t="s">
        <v>155</v>
      </c>
      <c r="B48" s="35" t="s">
        <v>426</v>
      </c>
      <c r="C48" s="52" t="s">
        <v>708</v>
      </c>
      <c r="D48" s="52" t="s">
        <v>704</v>
      </c>
      <c r="E48" s="394" t="s">
        <v>24</v>
      </c>
      <c r="F48" s="65" t="s">
        <v>711</v>
      </c>
      <c r="G48" s="52" t="s">
        <v>46</v>
      </c>
      <c r="H48" s="52" t="s">
        <v>370</v>
      </c>
      <c r="I48" s="423" t="s">
        <v>820</v>
      </c>
      <c r="J48" s="423"/>
      <c r="K48" s="330" t="s">
        <v>370</v>
      </c>
      <c r="L48" s="52">
        <v>44551</v>
      </c>
      <c r="M48" s="330">
        <v>44559</v>
      </c>
      <c r="N48" s="52">
        <v>44596</v>
      </c>
      <c r="O48" s="330">
        <v>44585</v>
      </c>
      <c r="P48" s="333" t="e">
        <f t="shared" si="20"/>
        <v>#VALUE!</v>
      </c>
      <c r="Q48" s="50">
        <f t="shared" si="21"/>
        <v>45</v>
      </c>
      <c r="R48" s="333">
        <f t="shared" si="21"/>
        <v>26</v>
      </c>
      <c r="S48" s="52" t="s">
        <v>370</v>
      </c>
      <c r="T48" s="330">
        <v>44599</v>
      </c>
      <c r="U48" s="52">
        <f>T48+145</f>
        <v>44744</v>
      </c>
      <c r="V48" s="50">
        <v>3</v>
      </c>
      <c r="W48" s="50">
        <f t="shared" si="22"/>
        <v>4.8172757475083063</v>
      </c>
      <c r="X48" s="50"/>
      <c r="Y48" s="50"/>
      <c r="Z48" s="50" t="s">
        <v>370</v>
      </c>
      <c r="AA48" s="181">
        <v>376822.32</v>
      </c>
      <c r="AB48" s="211">
        <v>20124</v>
      </c>
      <c r="AC48" s="115">
        <v>0</v>
      </c>
      <c r="AD48" s="115">
        <v>0</v>
      </c>
      <c r="AE48" s="275">
        <v>75000</v>
      </c>
      <c r="AF48" s="275">
        <v>75000</v>
      </c>
      <c r="AG48" s="275">
        <v>75000</v>
      </c>
      <c r="AH48" s="275">
        <v>56698.32</v>
      </c>
      <c r="AI48" s="58"/>
      <c r="AJ48" s="58"/>
      <c r="AK48" s="58"/>
      <c r="AL48" s="58"/>
      <c r="AM48" s="58"/>
      <c r="AN48" s="58"/>
      <c r="AO48" s="58"/>
      <c r="AP48" s="47"/>
      <c r="AQ48" s="58">
        <f t="shared" si="23"/>
        <v>301822.32</v>
      </c>
      <c r="AR48" s="51"/>
      <c r="AS48" s="357">
        <f t="shared" si="10"/>
        <v>-75000</v>
      </c>
    </row>
    <row r="49" spans="1:47" s="36" customFormat="1" ht="15.75" x14ac:dyDescent="0.25">
      <c r="A49" s="60" t="s">
        <v>795</v>
      </c>
      <c r="B49" s="61" t="s">
        <v>804</v>
      </c>
      <c r="C49" s="52" t="s">
        <v>708</v>
      </c>
      <c r="D49" s="52" t="s">
        <v>704</v>
      </c>
      <c r="E49" s="394" t="s">
        <v>24</v>
      </c>
      <c r="F49" s="65" t="s">
        <v>711</v>
      </c>
      <c r="G49" s="52" t="s">
        <v>46</v>
      </c>
      <c r="H49" s="52" t="s">
        <v>370</v>
      </c>
      <c r="I49" s="422" t="s">
        <v>820</v>
      </c>
      <c r="J49" s="422"/>
      <c r="K49" s="330" t="s">
        <v>370</v>
      </c>
      <c r="L49" s="52">
        <v>44551</v>
      </c>
      <c r="M49" s="330" t="s">
        <v>24</v>
      </c>
      <c r="N49" s="330" t="s">
        <v>24</v>
      </c>
      <c r="O49" s="330" t="s">
        <v>24</v>
      </c>
      <c r="P49" s="333" t="s">
        <v>24</v>
      </c>
      <c r="Q49" s="330" t="s">
        <v>24</v>
      </c>
      <c r="R49" s="330" t="s">
        <v>24</v>
      </c>
      <c r="S49" s="52" t="s">
        <v>320</v>
      </c>
      <c r="T49" s="330" t="s">
        <v>24</v>
      </c>
      <c r="U49" s="333" t="s">
        <v>24</v>
      </c>
      <c r="V49" s="333" t="s">
        <v>24</v>
      </c>
      <c r="W49" s="333" t="s">
        <v>24</v>
      </c>
      <c r="X49" s="333" t="s">
        <v>24</v>
      </c>
      <c r="Y49" s="333" t="s">
        <v>24</v>
      </c>
      <c r="Z49" s="333" t="s">
        <v>24</v>
      </c>
      <c r="AA49" s="181"/>
      <c r="AB49" s="211">
        <v>0</v>
      </c>
      <c r="AC49" s="115">
        <v>0</v>
      </c>
      <c r="AD49" s="115">
        <v>0</v>
      </c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47"/>
      <c r="AQ49" s="58">
        <f t="shared" si="23"/>
        <v>0</v>
      </c>
      <c r="AR49" s="51"/>
      <c r="AS49" s="357">
        <f t="shared" si="10"/>
        <v>0</v>
      </c>
    </row>
    <row r="50" spans="1:47" s="36" customFormat="1" ht="15.75" x14ac:dyDescent="0.25">
      <c r="A50" s="99"/>
      <c r="B50" s="100"/>
      <c r="C50" s="91"/>
      <c r="D50" s="91"/>
      <c r="E50" s="429"/>
      <c r="F50" s="100"/>
      <c r="G50" s="91"/>
      <c r="H50" s="91"/>
      <c r="I50" s="429"/>
      <c r="J50" s="429"/>
      <c r="K50" s="91"/>
      <c r="L50" s="91"/>
      <c r="M50" s="91"/>
      <c r="N50" s="91"/>
      <c r="O50" s="91"/>
      <c r="P50" s="92"/>
      <c r="Q50" s="91"/>
      <c r="R50" s="92"/>
      <c r="S50" s="91"/>
      <c r="T50" s="91"/>
      <c r="U50" s="91"/>
      <c r="V50" s="92"/>
      <c r="W50" s="91"/>
      <c r="X50" s="92"/>
      <c r="Y50" s="92"/>
      <c r="Z50" s="92"/>
      <c r="AA50" s="243">
        <f t="shared" ref="AA50:AO50" si="24">SUBTOTAL(9,AA42:AA49)</f>
        <v>6353477.4800000004</v>
      </c>
      <c r="AB50" s="243">
        <f t="shared" si="24"/>
        <v>941171.5199999999</v>
      </c>
      <c r="AC50" s="243">
        <f t="shared" si="24"/>
        <v>321016.49000000005</v>
      </c>
      <c r="AD50" s="243">
        <f t="shared" si="24"/>
        <v>736744.73</v>
      </c>
      <c r="AE50" s="243">
        <f t="shared" si="24"/>
        <v>815000</v>
      </c>
      <c r="AF50" s="243">
        <f t="shared" si="24"/>
        <v>753149.64</v>
      </c>
      <c r="AG50" s="243">
        <f t="shared" si="24"/>
        <v>631441.51</v>
      </c>
      <c r="AH50" s="243">
        <f t="shared" si="24"/>
        <v>656698.31999999995</v>
      </c>
      <c r="AI50" s="243">
        <f t="shared" si="24"/>
        <v>475000</v>
      </c>
      <c r="AJ50" s="243">
        <f t="shared" si="24"/>
        <v>450000</v>
      </c>
      <c r="AK50" s="243">
        <f t="shared" si="24"/>
        <v>425000</v>
      </c>
      <c r="AL50" s="243">
        <f t="shared" si="24"/>
        <v>200000</v>
      </c>
      <c r="AM50" s="243">
        <f t="shared" si="24"/>
        <v>0</v>
      </c>
      <c r="AN50" s="243">
        <f t="shared" si="24"/>
        <v>0</v>
      </c>
      <c r="AO50" s="243">
        <f t="shared" si="24"/>
        <v>0</v>
      </c>
      <c r="AP50" s="47"/>
      <c r="AQ50" s="243">
        <f>SUBTOTAL(9,AQ41:AQ49)</f>
        <v>6405222.21</v>
      </c>
      <c r="AR50" s="51"/>
      <c r="AS50" s="357">
        <f t="shared" si="10"/>
        <v>51744.729999999516</v>
      </c>
    </row>
    <row r="51" spans="1:47" s="36" customFormat="1" ht="15.75" x14ac:dyDescent="0.25">
      <c r="A51" s="381" t="s">
        <v>623</v>
      </c>
      <c r="B51" s="106"/>
      <c r="C51" s="102"/>
      <c r="D51" s="102"/>
      <c r="E51" s="420"/>
      <c r="F51" s="106"/>
      <c r="G51" s="102"/>
      <c r="H51" s="102"/>
      <c r="I51" s="420"/>
      <c r="J51" s="420"/>
      <c r="K51" s="102"/>
      <c r="L51" s="102"/>
      <c r="M51" s="276"/>
      <c r="N51" s="276"/>
      <c r="O51" s="276"/>
      <c r="P51" s="84"/>
      <c r="Q51" s="276"/>
      <c r="R51" s="84"/>
      <c r="S51" s="102"/>
      <c r="T51" s="102"/>
      <c r="U51" s="102"/>
      <c r="V51" s="84"/>
      <c r="W51" s="102"/>
      <c r="X51" s="102"/>
      <c r="Y51" s="102"/>
      <c r="Z51" s="102"/>
      <c r="AA51" s="102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47"/>
      <c r="AQ51" s="103"/>
      <c r="AR51" s="51"/>
      <c r="AS51" s="357">
        <f t="shared" si="10"/>
        <v>0</v>
      </c>
    </row>
    <row r="52" spans="1:47" s="36" customFormat="1" ht="15.75" x14ac:dyDescent="0.25">
      <c r="A52" s="374" t="s">
        <v>266</v>
      </c>
      <c r="B52" s="374" t="s">
        <v>928</v>
      </c>
      <c r="C52" s="52" t="s">
        <v>874</v>
      </c>
      <c r="D52" s="52" t="s">
        <v>873</v>
      </c>
      <c r="E52" s="422" t="s">
        <v>890</v>
      </c>
      <c r="F52" s="57" t="s">
        <v>862</v>
      </c>
      <c r="G52" s="52" t="s">
        <v>623</v>
      </c>
      <c r="H52" s="52" t="s">
        <v>320</v>
      </c>
      <c r="I52" s="422" t="s">
        <v>833</v>
      </c>
      <c r="J52" s="422"/>
      <c r="K52" s="52">
        <v>44656</v>
      </c>
      <c r="L52" s="52">
        <v>44601</v>
      </c>
      <c r="M52" s="52">
        <v>44651</v>
      </c>
      <c r="N52" s="52">
        <v>44620</v>
      </c>
      <c r="O52" s="52">
        <f>M52+30</f>
        <v>44681</v>
      </c>
      <c r="P52" s="50">
        <f t="shared" ref="P52:P102" si="25">O52-K52</f>
        <v>25</v>
      </c>
      <c r="Q52" s="50">
        <f t="shared" ref="Q52:R67" si="26">N52-L52</f>
        <v>19</v>
      </c>
      <c r="R52" s="50">
        <f t="shared" si="26"/>
        <v>30</v>
      </c>
      <c r="S52" s="52" t="s">
        <v>320</v>
      </c>
      <c r="T52" s="376">
        <f>O52</f>
        <v>44681</v>
      </c>
      <c r="U52" s="52">
        <f>T52+150</f>
        <v>44831</v>
      </c>
      <c r="V52" s="50">
        <v>2.5249169435215948</v>
      </c>
      <c r="W52" s="50">
        <f t="shared" ref="W52:W59" si="27">((U52-T52)/7)/4.3</f>
        <v>4.9833887043189371</v>
      </c>
      <c r="X52" s="50"/>
      <c r="Y52" s="50"/>
      <c r="Z52" s="50"/>
      <c r="AA52" s="53">
        <v>725000</v>
      </c>
      <c r="AB52" s="211">
        <v>0</v>
      </c>
      <c r="AC52" s="115">
        <v>0</v>
      </c>
      <c r="AD52" s="115" t="e">
        <f>_xlfn.XLOOKUP(A52,#REF!,#REF!)</f>
        <v>#REF!</v>
      </c>
      <c r="AE52" s="275"/>
      <c r="AF52" s="275"/>
      <c r="AG52" s="275"/>
      <c r="AH52" s="275"/>
      <c r="AI52" s="275"/>
      <c r="AJ52" s="275"/>
      <c r="AK52" s="275"/>
      <c r="AL52" s="275"/>
      <c r="AM52" s="275"/>
      <c r="AN52" s="275">
        <v>725000</v>
      </c>
      <c r="AO52" s="53"/>
      <c r="AP52" s="47"/>
      <c r="AQ52" s="53" t="e">
        <f t="shared" ref="AQ52:AQ75" si="28">SUM(AB52:AP52)</f>
        <v>#REF!</v>
      </c>
      <c r="AR52" s="51"/>
      <c r="AS52" s="357" t="e">
        <f t="shared" si="10"/>
        <v>#REF!</v>
      </c>
    </row>
    <row r="53" spans="1:47" s="36" customFormat="1" ht="15.75" x14ac:dyDescent="0.25">
      <c r="A53" s="34" t="s">
        <v>191</v>
      </c>
      <c r="B53" s="34" t="s">
        <v>192</v>
      </c>
      <c r="C53" s="52" t="s">
        <v>45</v>
      </c>
      <c r="D53" s="52" t="s">
        <v>45</v>
      </c>
      <c r="E53" s="52" t="s">
        <v>45</v>
      </c>
      <c r="F53" s="34" t="s">
        <v>193</v>
      </c>
      <c r="G53" s="52" t="s">
        <v>623</v>
      </c>
      <c r="H53" s="52" t="s">
        <v>320</v>
      </c>
      <c r="I53" s="52" t="s">
        <v>184</v>
      </c>
      <c r="J53" s="52"/>
      <c r="K53" s="276" t="s">
        <v>320</v>
      </c>
      <c r="L53" s="52">
        <v>44713</v>
      </c>
      <c r="M53" s="52">
        <v>44713</v>
      </c>
      <c r="N53" s="52">
        <v>44758</v>
      </c>
      <c r="O53" s="52">
        <f>M53+45</f>
        <v>44758</v>
      </c>
      <c r="P53" s="50" t="e">
        <f t="shared" si="25"/>
        <v>#VALUE!</v>
      </c>
      <c r="Q53" s="50">
        <f t="shared" si="26"/>
        <v>45</v>
      </c>
      <c r="R53" s="50">
        <f t="shared" si="26"/>
        <v>45</v>
      </c>
      <c r="S53" s="52" t="s">
        <v>320</v>
      </c>
      <c r="T53" s="52">
        <f>O53+30</f>
        <v>44788</v>
      </c>
      <c r="U53" s="52">
        <f>T53+(12*4.3*7)</f>
        <v>45149.2</v>
      </c>
      <c r="V53" s="50">
        <v>11.999999999999904</v>
      </c>
      <c r="W53" s="50">
        <f t="shared" si="27"/>
        <v>11.999999999999904</v>
      </c>
      <c r="X53" s="50"/>
      <c r="Y53" s="50"/>
      <c r="Z53" s="50"/>
      <c r="AA53" s="53">
        <v>4000000</v>
      </c>
      <c r="AB53" s="211">
        <v>0</v>
      </c>
      <c r="AC53" s="115">
        <v>0</v>
      </c>
      <c r="AD53" s="115">
        <v>0</v>
      </c>
      <c r="AE53" s="275">
        <v>200000</v>
      </c>
      <c r="AF53" s="275">
        <v>250000</v>
      </c>
      <c r="AG53" s="275">
        <v>340000</v>
      </c>
      <c r="AH53" s="275">
        <v>340000</v>
      </c>
      <c r="AI53" s="275">
        <v>340000</v>
      </c>
      <c r="AJ53" s="275">
        <v>340000</v>
      </c>
      <c r="AK53" s="275">
        <v>340000</v>
      </c>
      <c r="AL53" s="275">
        <v>340000</v>
      </c>
      <c r="AM53" s="275">
        <v>340000</v>
      </c>
      <c r="AN53" s="275">
        <v>340000</v>
      </c>
      <c r="AO53" s="275">
        <v>830000</v>
      </c>
      <c r="AP53" s="47"/>
      <c r="AQ53" s="53">
        <f t="shared" si="28"/>
        <v>4000000</v>
      </c>
      <c r="AR53" s="51"/>
      <c r="AS53" s="357">
        <f t="shared" si="10"/>
        <v>0</v>
      </c>
    </row>
    <row r="54" spans="1:47" s="36" customFormat="1" ht="15.75" x14ac:dyDescent="0.25">
      <c r="A54" s="34" t="s">
        <v>194</v>
      </c>
      <c r="B54" s="34" t="s">
        <v>609</v>
      </c>
      <c r="C54" s="52" t="s">
        <v>708</v>
      </c>
      <c r="D54" s="52" t="s">
        <v>45</v>
      </c>
      <c r="E54" s="52" t="s">
        <v>890</v>
      </c>
      <c r="F54" s="34" t="s">
        <v>196</v>
      </c>
      <c r="G54" s="52" t="s">
        <v>623</v>
      </c>
      <c r="H54" s="52" t="s">
        <v>320</v>
      </c>
      <c r="I54" s="52" t="s">
        <v>821</v>
      </c>
      <c r="J54" s="52"/>
      <c r="K54" s="52">
        <v>44641</v>
      </c>
      <c r="L54" s="52">
        <v>44597</v>
      </c>
      <c r="M54" s="52">
        <v>44656</v>
      </c>
      <c r="N54" s="52">
        <v>44667</v>
      </c>
      <c r="O54" s="52">
        <f>M54+60</f>
        <v>44716</v>
      </c>
      <c r="P54" s="50">
        <f t="shared" si="25"/>
        <v>75</v>
      </c>
      <c r="Q54" s="50">
        <f t="shared" si="26"/>
        <v>70</v>
      </c>
      <c r="R54" s="50">
        <f t="shared" si="26"/>
        <v>60</v>
      </c>
      <c r="S54" s="52" t="s">
        <v>320</v>
      </c>
      <c r="T54" s="52">
        <v>44682</v>
      </c>
      <c r="U54" s="52">
        <f>T54+(9*4.3*7)</f>
        <v>44952.9</v>
      </c>
      <c r="V54" s="50">
        <v>9.0000000000000497</v>
      </c>
      <c r="W54" s="50">
        <f t="shared" si="27"/>
        <v>9.0000000000000497</v>
      </c>
      <c r="X54" s="50"/>
      <c r="Y54" s="50"/>
      <c r="Z54" s="50"/>
      <c r="AA54" s="53">
        <v>2200000</v>
      </c>
      <c r="AB54" s="211">
        <v>0</v>
      </c>
      <c r="AC54" s="115">
        <v>0</v>
      </c>
      <c r="AD54" s="115">
        <v>0</v>
      </c>
      <c r="AE54" s="275">
        <v>150000</v>
      </c>
      <c r="AF54" s="275">
        <v>200000</v>
      </c>
      <c r="AG54" s="275">
        <v>260000</v>
      </c>
      <c r="AH54" s="275">
        <v>260000</v>
      </c>
      <c r="AI54" s="275">
        <v>300000</v>
      </c>
      <c r="AJ54" s="275">
        <v>300000</v>
      </c>
      <c r="AK54" s="275">
        <v>260000</v>
      </c>
      <c r="AL54" s="275">
        <v>260000</v>
      </c>
      <c r="AM54" s="275">
        <v>210000</v>
      </c>
      <c r="AN54" s="58"/>
      <c r="AO54" s="58"/>
      <c r="AP54" s="47"/>
      <c r="AQ54" s="53">
        <f t="shared" si="28"/>
        <v>2200000</v>
      </c>
      <c r="AR54" s="51"/>
      <c r="AS54" s="357">
        <f t="shared" si="10"/>
        <v>0</v>
      </c>
    </row>
    <row r="55" spans="1:47" s="36" customFormat="1" ht="15.75" x14ac:dyDescent="0.25">
      <c r="A55" s="386" t="s">
        <v>647</v>
      </c>
      <c r="B55" s="374" t="s">
        <v>604</v>
      </c>
      <c r="C55" s="52" t="s">
        <v>884</v>
      </c>
      <c r="D55" s="52" t="s">
        <v>885</v>
      </c>
      <c r="E55" s="423" t="s">
        <v>893</v>
      </c>
      <c r="F55" s="61" t="s">
        <v>684</v>
      </c>
      <c r="G55" s="52" t="s">
        <v>623</v>
      </c>
      <c r="H55" s="52" t="s">
        <v>320</v>
      </c>
      <c r="I55" s="423" t="s">
        <v>815</v>
      </c>
      <c r="J55" s="423"/>
      <c r="K55" s="330" t="s">
        <v>370</v>
      </c>
      <c r="L55" s="52">
        <v>44690</v>
      </c>
      <c r="M55" s="52">
        <v>44690</v>
      </c>
      <c r="N55" s="52">
        <v>44609</v>
      </c>
      <c r="O55" s="52">
        <f>M55+45</f>
        <v>44735</v>
      </c>
      <c r="P55" s="50" t="e">
        <f t="shared" si="25"/>
        <v>#VALUE!</v>
      </c>
      <c r="Q55" s="50">
        <f t="shared" si="26"/>
        <v>-81</v>
      </c>
      <c r="R55" s="50">
        <f t="shared" si="26"/>
        <v>45</v>
      </c>
      <c r="S55" s="52" t="s">
        <v>320</v>
      </c>
      <c r="T55" s="376">
        <v>44743</v>
      </c>
      <c r="U55" s="109">
        <f>T55+(6*4.3*7)</f>
        <v>44923.6</v>
      </c>
      <c r="V55" s="491">
        <v>6</v>
      </c>
      <c r="W55" s="501">
        <f t="shared" si="27"/>
        <v>5.999999999999952</v>
      </c>
      <c r="X55" s="50"/>
      <c r="Y55" s="50"/>
      <c r="Z55" s="50"/>
      <c r="AA55" s="189">
        <v>980000</v>
      </c>
      <c r="AB55" s="211">
        <v>0</v>
      </c>
      <c r="AC55" s="115">
        <v>0</v>
      </c>
      <c r="AD55" s="115">
        <v>0</v>
      </c>
      <c r="AE55" s="275">
        <v>50000</v>
      </c>
      <c r="AF55" s="275">
        <v>100000</v>
      </c>
      <c r="AG55" s="275">
        <v>125000</v>
      </c>
      <c r="AH55" s="275">
        <v>150000</v>
      </c>
      <c r="AI55" s="275">
        <v>200000</v>
      </c>
      <c r="AJ55" s="275">
        <v>200000</v>
      </c>
      <c r="AK55" s="275">
        <v>155000</v>
      </c>
      <c r="AL55" s="58"/>
      <c r="AM55" s="58"/>
      <c r="AN55" s="58"/>
      <c r="AO55" s="58"/>
      <c r="AP55" s="47"/>
      <c r="AQ55" s="53">
        <f t="shared" si="28"/>
        <v>980000</v>
      </c>
      <c r="AR55" s="51"/>
      <c r="AS55" s="357">
        <f t="shared" si="10"/>
        <v>0</v>
      </c>
    </row>
    <row r="56" spans="1:47" s="36" customFormat="1" ht="15.75" x14ac:dyDescent="0.25">
      <c r="A56" s="386" t="s">
        <v>648</v>
      </c>
      <c r="B56" s="393" t="s">
        <v>605</v>
      </c>
      <c r="C56" s="52" t="s">
        <v>884</v>
      </c>
      <c r="D56" s="52" t="s">
        <v>885</v>
      </c>
      <c r="E56" s="423" t="s">
        <v>893</v>
      </c>
      <c r="F56" s="61" t="s">
        <v>684</v>
      </c>
      <c r="G56" s="52" t="s">
        <v>623</v>
      </c>
      <c r="H56" s="52" t="s">
        <v>320</v>
      </c>
      <c r="I56" s="423" t="s">
        <v>815</v>
      </c>
      <c r="J56" s="423"/>
      <c r="K56" s="330" t="s">
        <v>370</v>
      </c>
      <c r="L56" s="52">
        <v>44690</v>
      </c>
      <c r="M56" s="52">
        <v>44690</v>
      </c>
      <c r="N56" s="52">
        <v>44609</v>
      </c>
      <c r="O56" s="52">
        <f>M56+45</f>
        <v>44735</v>
      </c>
      <c r="P56" s="50" t="e">
        <f t="shared" si="25"/>
        <v>#VALUE!</v>
      </c>
      <c r="Q56" s="50">
        <f t="shared" si="26"/>
        <v>-81</v>
      </c>
      <c r="R56" s="50">
        <f t="shared" si="26"/>
        <v>45</v>
      </c>
      <c r="S56" s="52" t="s">
        <v>320</v>
      </c>
      <c r="T56" s="376">
        <v>44743</v>
      </c>
      <c r="U56" s="109">
        <f>T56+(6*4.3*7)</f>
        <v>44923.6</v>
      </c>
      <c r="V56" s="491">
        <v>6</v>
      </c>
      <c r="W56" s="501">
        <f t="shared" si="27"/>
        <v>5.999999999999952</v>
      </c>
      <c r="X56" s="50"/>
      <c r="Y56" s="50"/>
      <c r="Z56" s="50"/>
      <c r="AA56" s="189">
        <v>1558000</v>
      </c>
      <c r="AB56" s="211">
        <v>0</v>
      </c>
      <c r="AC56" s="115">
        <v>0</v>
      </c>
      <c r="AD56" s="115">
        <v>0</v>
      </c>
      <c r="AE56" s="275">
        <v>50000</v>
      </c>
      <c r="AF56" s="275">
        <v>125000</v>
      </c>
      <c r="AG56" s="275">
        <v>225000</v>
      </c>
      <c r="AH56" s="275">
        <v>300000</v>
      </c>
      <c r="AI56" s="275">
        <v>300000</v>
      </c>
      <c r="AJ56" s="275">
        <v>300000</v>
      </c>
      <c r="AK56" s="275">
        <v>258000</v>
      </c>
      <c r="AL56" s="58"/>
      <c r="AM56" s="58"/>
      <c r="AN56" s="58"/>
      <c r="AO56" s="58"/>
      <c r="AP56" s="47"/>
      <c r="AQ56" s="53">
        <f t="shared" si="28"/>
        <v>1558000</v>
      </c>
      <c r="AR56" s="51"/>
      <c r="AS56" s="357">
        <f t="shared" si="10"/>
        <v>0</v>
      </c>
    </row>
    <row r="57" spans="1:47" s="36" customFormat="1" ht="15.75" x14ac:dyDescent="0.25">
      <c r="A57" s="461" t="s">
        <v>649</v>
      </c>
      <c r="B57" s="410" t="s">
        <v>606</v>
      </c>
      <c r="C57" s="52" t="s">
        <v>884</v>
      </c>
      <c r="D57" s="52" t="s">
        <v>885</v>
      </c>
      <c r="E57" s="423" t="s">
        <v>893</v>
      </c>
      <c r="F57" s="63" t="s">
        <v>684</v>
      </c>
      <c r="G57" s="52" t="s">
        <v>623</v>
      </c>
      <c r="H57" s="52" t="s">
        <v>320</v>
      </c>
      <c r="I57" s="426" t="s">
        <v>815</v>
      </c>
      <c r="J57" s="426"/>
      <c r="K57" s="330" t="s">
        <v>370</v>
      </c>
      <c r="L57" s="52">
        <v>44622</v>
      </c>
      <c r="M57" s="330">
        <v>44622</v>
      </c>
      <c r="N57" s="52">
        <v>44623</v>
      </c>
      <c r="O57" s="52">
        <f>M57+30</f>
        <v>44652</v>
      </c>
      <c r="P57" s="50" t="e">
        <f t="shared" si="25"/>
        <v>#VALUE!</v>
      </c>
      <c r="Q57" s="50">
        <f t="shared" si="26"/>
        <v>1</v>
      </c>
      <c r="R57" s="50">
        <f t="shared" si="26"/>
        <v>30</v>
      </c>
      <c r="S57" s="52" t="s">
        <v>320</v>
      </c>
      <c r="T57" s="376">
        <f>O57+30</f>
        <v>44682</v>
      </c>
      <c r="U57" s="276">
        <f>T57+(6*4.3*7)</f>
        <v>44862.6</v>
      </c>
      <c r="V57" s="491">
        <v>6</v>
      </c>
      <c r="W57" s="84">
        <f t="shared" si="27"/>
        <v>5.999999999999952</v>
      </c>
      <c r="X57" s="50"/>
      <c r="Y57" s="50"/>
      <c r="Z57" s="50"/>
      <c r="AA57" s="189">
        <v>540000</v>
      </c>
      <c r="AB57" s="211">
        <v>0</v>
      </c>
      <c r="AC57" s="115">
        <v>0</v>
      </c>
      <c r="AD57" s="115">
        <v>0</v>
      </c>
      <c r="AE57" s="275">
        <v>25000</v>
      </c>
      <c r="AF57" s="275">
        <v>75000</v>
      </c>
      <c r="AG57" s="275">
        <v>90000</v>
      </c>
      <c r="AH57" s="275">
        <v>100000</v>
      </c>
      <c r="AI57" s="275">
        <v>100000</v>
      </c>
      <c r="AJ57" s="275">
        <v>100000</v>
      </c>
      <c r="AK57" s="275">
        <v>50000</v>
      </c>
      <c r="AL57" s="58"/>
      <c r="AM57" s="58"/>
      <c r="AN57" s="58"/>
      <c r="AO57" s="58"/>
      <c r="AP57" s="47"/>
      <c r="AQ57" s="53">
        <f t="shared" si="28"/>
        <v>540000</v>
      </c>
      <c r="AR57" s="51"/>
      <c r="AS57" s="357">
        <f t="shared" si="10"/>
        <v>0</v>
      </c>
    </row>
    <row r="58" spans="1:47" s="36" customFormat="1" ht="15.75" x14ac:dyDescent="0.25">
      <c r="A58" s="374" t="s">
        <v>650</v>
      </c>
      <c r="B58" s="374" t="s">
        <v>900</v>
      </c>
      <c r="C58" s="52" t="s">
        <v>884</v>
      </c>
      <c r="D58" s="52" t="s">
        <v>885</v>
      </c>
      <c r="E58" s="423" t="s">
        <v>893</v>
      </c>
      <c r="F58" s="390" t="s">
        <v>684</v>
      </c>
      <c r="G58" s="52" t="s">
        <v>623</v>
      </c>
      <c r="H58" s="52" t="s">
        <v>320</v>
      </c>
      <c r="I58" s="394" t="s">
        <v>815</v>
      </c>
      <c r="J58" s="394"/>
      <c r="K58" s="330" t="s">
        <v>370</v>
      </c>
      <c r="L58" s="52">
        <v>44662</v>
      </c>
      <c r="M58" s="52">
        <v>44662</v>
      </c>
      <c r="N58" s="52">
        <v>44609</v>
      </c>
      <c r="O58" s="52">
        <f>M58+45</f>
        <v>44707</v>
      </c>
      <c r="P58" s="50" t="e">
        <f t="shared" si="25"/>
        <v>#VALUE!</v>
      </c>
      <c r="Q58" s="50">
        <f t="shared" si="26"/>
        <v>-53</v>
      </c>
      <c r="R58" s="50">
        <f t="shared" si="26"/>
        <v>45</v>
      </c>
      <c r="S58" s="52" t="s">
        <v>320</v>
      </c>
      <c r="T58" s="376">
        <v>44652</v>
      </c>
      <c r="U58" s="276">
        <f>T58+(6*4.3*7)</f>
        <v>44832.6</v>
      </c>
      <c r="V58" s="491">
        <v>6</v>
      </c>
      <c r="W58" s="84">
        <f t="shared" si="27"/>
        <v>5.999999999999952</v>
      </c>
      <c r="X58" s="50"/>
      <c r="Y58" s="50"/>
      <c r="Z58" s="50"/>
      <c r="AA58" s="189">
        <v>800000</v>
      </c>
      <c r="AB58" s="211">
        <v>0</v>
      </c>
      <c r="AC58" s="115">
        <v>0</v>
      </c>
      <c r="AD58" s="115">
        <v>0</v>
      </c>
      <c r="AE58" s="275">
        <v>75000</v>
      </c>
      <c r="AF58" s="275">
        <v>125000</v>
      </c>
      <c r="AG58" s="275">
        <v>125000</v>
      </c>
      <c r="AH58" s="275">
        <v>150000</v>
      </c>
      <c r="AI58" s="275">
        <v>150000</v>
      </c>
      <c r="AJ58" s="275">
        <v>125000</v>
      </c>
      <c r="AK58" s="275">
        <v>50000</v>
      </c>
      <c r="AL58" s="58"/>
      <c r="AM58" s="58"/>
      <c r="AN58" s="58"/>
      <c r="AO58" s="53"/>
      <c r="AP58" s="47"/>
      <c r="AQ58" s="53">
        <f t="shared" si="28"/>
        <v>800000</v>
      </c>
      <c r="AR58" s="51"/>
      <c r="AS58" s="357">
        <f t="shared" si="10"/>
        <v>0</v>
      </c>
    </row>
    <row r="59" spans="1:47" s="36" customFormat="1" ht="15.75" x14ac:dyDescent="0.25">
      <c r="A59" s="374" t="s">
        <v>651</v>
      </c>
      <c r="B59" s="374" t="s">
        <v>608</v>
      </c>
      <c r="C59" s="52" t="s">
        <v>884</v>
      </c>
      <c r="D59" s="52" t="s">
        <v>885</v>
      </c>
      <c r="E59" s="423" t="s">
        <v>893</v>
      </c>
      <c r="F59" s="34" t="s">
        <v>684</v>
      </c>
      <c r="G59" s="52" t="s">
        <v>623</v>
      </c>
      <c r="H59" s="52" t="s">
        <v>320</v>
      </c>
      <c r="I59" s="52" t="s">
        <v>815</v>
      </c>
      <c r="J59" s="52"/>
      <c r="K59" s="330" t="s">
        <v>370</v>
      </c>
      <c r="L59" s="52">
        <v>44690</v>
      </c>
      <c r="M59" s="52">
        <v>44690</v>
      </c>
      <c r="N59" s="52">
        <v>44609</v>
      </c>
      <c r="O59" s="52">
        <f>M59+45</f>
        <v>44735</v>
      </c>
      <c r="P59" s="50" t="e">
        <f t="shared" si="25"/>
        <v>#VALUE!</v>
      </c>
      <c r="Q59" s="50">
        <f t="shared" si="26"/>
        <v>-81</v>
      </c>
      <c r="R59" s="50">
        <f t="shared" si="26"/>
        <v>45</v>
      </c>
      <c r="S59" s="52" t="s">
        <v>320</v>
      </c>
      <c r="T59" s="376">
        <v>44652</v>
      </c>
      <c r="U59" s="276">
        <f>T59+(6*4.3*7)</f>
        <v>44832.6</v>
      </c>
      <c r="V59" s="491">
        <v>6</v>
      </c>
      <c r="W59" s="84">
        <f t="shared" si="27"/>
        <v>5.999999999999952</v>
      </c>
      <c r="X59" s="50"/>
      <c r="Y59" s="50"/>
      <c r="Z59" s="50"/>
      <c r="AA59" s="189">
        <v>690000</v>
      </c>
      <c r="AB59" s="211">
        <v>0</v>
      </c>
      <c r="AC59" s="115">
        <v>0</v>
      </c>
      <c r="AD59" s="115">
        <v>0</v>
      </c>
      <c r="AE59" s="275">
        <v>50000</v>
      </c>
      <c r="AF59" s="275">
        <v>100000</v>
      </c>
      <c r="AG59" s="275">
        <v>120000</v>
      </c>
      <c r="AH59" s="275">
        <v>120000</v>
      </c>
      <c r="AI59" s="275">
        <v>120000</v>
      </c>
      <c r="AJ59" s="275">
        <v>120000</v>
      </c>
      <c r="AK59" s="275">
        <v>60000</v>
      </c>
      <c r="AL59" s="58"/>
      <c r="AM59" s="58"/>
      <c r="AN59" s="58"/>
      <c r="AO59" s="53"/>
      <c r="AP59" s="47"/>
      <c r="AQ59" s="53">
        <f t="shared" si="28"/>
        <v>690000</v>
      </c>
      <c r="AR59" s="51"/>
      <c r="AS59" s="357">
        <f t="shared" si="10"/>
        <v>0</v>
      </c>
      <c r="AU59" s="55"/>
    </row>
    <row r="60" spans="1:47" s="36" customFormat="1" ht="15.75" x14ac:dyDescent="0.25">
      <c r="A60" s="374" t="s">
        <v>901</v>
      </c>
      <c r="B60" s="374" t="s">
        <v>904</v>
      </c>
      <c r="C60" s="52"/>
      <c r="D60" s="52"/>
      <c r="E60" s="423" t="s">
        <v>893</v>
      </c>
      <c r="F60" s="34" t="s">
        <v>929</v>
      </c>
      <c r="G60" s="52" t="s">
        <v>623</v>
      </c>
      <c r="H60" s="52" t="s">
        <v>320</v>
      </c>
      <c r="I60" s="52" t="s">
        <v>815</v>
      </c>
      <c r="J60" s="52"/>
      <c r="K60" s="330" t="s">
        <v>370</v>
      </c>
      <c r="L60" s="52"/>
      <c r="M60" s="52">
        <v>44690</v>
      </c>
      <c r="N60" s="52"/>
      <c r="O60" s="52">
        <f>M60+45</f>
        <v>44735</v>
      </c>
      <c r="P60" s="50" t="e">
        <f t="shared" si="25"/>
        <v>#VALUE!</v>
      </c>
      <c r="Q60" s="50"/>
      <c r="R60" s="50">
        <f t="shared" si="26"/>
        <v>45</v>
      </c>
      <c r="S60" s="52" t="s">
        <v>320</v>
      </c>
      <c r="T60" s="376"/>
      <c r="U60" s="276"/>
      <c r="V60" s="491"/>
      <c r="W60" s="50"/>
      <c r="X60" s="50"/>
      <c r="Y60" s="50"/>
      <c r="Z60" s="50"/>
      <c r="AA60" s="189"/>
      <c r="AB60" s="211">
        <v>0</v>
      </c>
      <c r="AC60" s="115">
        <v>0</v>
      </c>
      <c r="AD60" s="115">
        <v>0</v>
      </c>
      <c r="AE60" s="275"/>
      <c r="AF60" s="275"/>
      <c r="AG60" s="275"/>
      <c r="AH60" s="275"/>
      <c r="AI60" s="275"/>
      <c r="AJ60" s="275"/>
      <c r="AK60" s="275"/>
      <c r="AL60" s="58"/>
      <c r="AM60" s="58"/>
      <c r="AN60" s="58"/>
      <c r="AO60" s="53"/>
      <c r="AP60" s="47"/>
      <c r="AQ60" s="53">
        <f t="shared" si="28"/>
        <v>0</v>
      </c>
      <c r="AR60" s="51"/>
      <c r="AS60" s="357">
        <f t="shared" si="10"/>
        <v>0</v>
      </c>
      <c r="AU60" s="55"/>
    </row>
    <row r="61" spans="1:47" s="36" customFormat="1" ht="15.75" x14ac:dyDescent="0.25">
      <c r="A61" s="374" t="s">
        <v>902</v>
      </c>
      <c r="B61" s="374" t="s">
        <v>905</v>
      </c>
      <c r="C61" s="52"/>
      <c r="D61" s="52"/>
      <c r="E61" s="423" t="s">
        <v>893</v>
      </c>
      <c r="F61" s="34" t="s">
        <v>930</v>
      </c>
      <c r="G61" s="52" t="s">
        <v>623</v>
      </c>
      <c r="H61" s="52" t="s">
        <v>320</v>
      </c>
      <c r="I61" s="52" t="s">
        <v>815</v>
      </c>
      <c r="J61" s="52"/>
      <c r="K61" s="330" t="s">
        <v>370</v>
      </c>
      <c r="L61" s="52">
        <v>44690</v>
      </c>
      <c r="M61" s="52">
        <v>44690</v>
      </c>
      <c r="N61" s="52"/>
      <c r="O61" s="52">
        <f>M61+45</f>
        <v>44735</v>
      </c>
      <c r="P61" s="50" t="e">
        <f t="shared" si="25"/>
        <v>#VALUE!</v>
      </c>
      <c r="Q61" s="50"/>
      <c r="R61" s="50">
        <f t="shared" si="26"/>
        <v>45</v>
      </c>
      <c r="S61" s="52" t="s">
        <v>320</v>
      </c>
      <c r="T61" s="376"/>
      <c r="U61" s="276"/>
      <c r="V61" s="491"/>
      <c r="W61" s="50"/>
      <c r="X61" s="50"/>
      <c r="Y61" s="50"/>
      <c r="Z61" s="50"/>
      <c r="AA61" s="189"/>
      <c r="AB61" s="211">
        <v>0</v>
      </c>
      <c r="AC61" s="115">
        <v>0</v>
      </c>
      <c r="AD61" s="115">
        <v>0</v>
      </c>
      <c r="AE61" s="275"/>
      <c r="AF61" s="275"/>
      <c r="AG61" s="275"/>
      <c r="AH61" s="275"/>
      <c r="AI61" s="275"/>
      <c r="AJ61" s="275"/>
      <c r="AK61" s="275"/>
      <c r="AL61" s="58"/>
      <c r="AM61" s="58"/>
      <c r="AN61" s="58"/>
      <c r="AO61" s="53"/>
      <c r="AP61" s="47"/>
      <c r="AQ61" s="53">
        <f t="shared" si="28"/>
        <v>0</v>
      </c>
      <c r="AR61" s="51"/>
      <c r="AS61" s="357">
        <f t="shared" si="10"/>
        <v>0</v>
      </c>
      <c r="AU61" s="55"/>
    </row>
    <row r="62" spans="1:47" s="36" customFormat="1" ht="15.75" x14ac:dyDescent="0.25">
      <c r="A62" s="374" t="s">
        <v>903</v>
      </c>
      <c r="B62" s="374" t="s">
        <v>906</v>
      </c>
      <c r="C62" s="52"/>
      <c r="D62" s="52"/>
      <c r="E62" s="423" t="s">
        <v>893</v>
      </c>
      <c r="F62" s="34" t="s">
        <v>931</v>
      </c>
      <c r="G62" s="52" t="s">
        <v>623</v>
      </c>
      <c r="H62" s="52" t="s">
        <v>320</v>
      </c>
      <c r="I62" s="52" t="s">
        <v>815</v>
      </c>
      <c r="J62" s="52"/>
      <c r="K62" s="330" t="s">
        <v>370</v>
      </c>
      <c r="L62" s="52">
        <v>44690</v>
      </c>
      <c r="M62" s="52">
        <v>44690</v>
      </c>
      <c r="N62" s="52"/>
      <c r="O62" s="52">
        <f>M62+45</f>
        <v>44735</v>
      </c>
      <c r="P62" s="50" t="e">
        <f t="shared" si="25"/>
        <v>#VALUE!</v>
      </c>
      <c r="Q62" s="50"/>
      <c r="R62" s="50">
        <f t="shared" si="26"/>
        <v>45</v>
      </c>
      <c r="S62" s="52" t="s">
        <v>320</v>
      </c>
      <c r="T62" s="376"/>
      <c r="U62" s="276"/>
      <c r="V62" s="491"/>
      <c r="W62" s="50"/>
      <c r="X62" s="50"/>
      <c r="Y62" s="50"/>
      <c r="Z62" s="50"/>
      <c r="AA62" s="189"/>
      <c r="AB62" s="211">
        <v>0</v>
      </c>
      <c r="AC62" s="115">
        <v>0</v>
      </c>
      <c r="AD62" s="115">
        <v>0</v>
      </c>
      <c r="AE62" s="275"/>
      <c r="AF62" s="275"/>
      <c r="AG62" s="275"/>
      <c r="AH62" s="275"/>
      <c r="AI62" s="275"/>
      <c r="AJ62" s="275"/>
      <c r="AK62" s="275"/>
      <c r="AL62" s="58"/>
      <c r="AM62" s="58"/>
      <c r="AN62" s="58"/>
      <c r="AO62" s="53"/>
      <c r="AP62" s="47"/>
      <c r="AQ62" s="53">
        <f t="shared" si="28"/>
        <v>0</v>
      </c>
      <c r="AR62" s="51"/>
      <c r="AS62" s="357">
        <f t="shared" si="10"/>
        <v>0</v>
      </c>
      <c r="AU62" s="55"/>
    </row>
    <row r="63" spans="1:47" s="36" customFormat="1" ht="15.75" x14ac:dyDescent="0.25">
      <c r="A63" s="374" t="s">
        <v>206</v>
      </c>
      <c r="B63" s="374" t="s">
        <v>207</v>
      </c>
      <c r="C63" s="52" t="s">
        <v>875</v>
      </c>
      <c r="D63" s="52" t="s">
        <v>778</v>
      </c>
      <c r="E63" s="52" t="s">
        <v>892</v>
      </c>
      <c r="F63" s="34" t="s">
        <v>932</v>
      </c>
      <c r="G63" s="52" t="s">
        <v>623</v>
      </c>
      <c r="H63" s="52" t="s">
        <v>320</v>
      </c>
      <c r="I63" s="52" t="s">
        <v>822</v>
      </c>
      <c r="J63" s="52"/>
      <c r="K63" s="52">
        <v>44631</v>
      </c>
      <c r="L63" s="52">
        <v>44592</v>
      </c>
      <c r="M63" s="330">
        <v>44595</v>
      </c>
      <c r="N63" s="52">
        <v>44637</v>
      </c>
      <c r="O63" s="109">
        <f>M63+90</f>
        <v>44685</v>
      </c>
      <c r="P63" s="50">
        <f t="shared" si="25"/>
        <v>54</v>
      </c>
      <c r="Q63" s="50">
        <f t="shared" ref="Q63:R82" si="29">N63-L63</f>
        <v>45</v>
      </c>
      <c r="R63" s="50">
        <f t="shared" si="26"/>
        <v>90</v>
      </c>
      <c r="S63" s="52" t="s">
        <v>320</v>
      </c>
      <c r="T63" s="376">
        <f>O63</f>
        <v>44685</v>
      </c>
      <c r="U63" s="347">
        <f>T63+(6*4.3*7)</f>
        <v>44865.599999999999</v>
      </c>
      <c r="V63" s="50">
        <v>5.999999999999952</v>
      </c>
      <c r="W63" s="50">
        <f t="shared" ref="W63:W72" si="30">((U63-T63)/7)/4.3</f>
        <v>5.999999999999952</v>
      </c>
      <c r="X63" s="50"/>
      <c r="Y63" s="50"/>
      <c r="Z63" s="50"/>
      <c r="AA63" s="53">
        <v>2500000</v>
      </c>
      <c r="AB63" s="211">
        <v>0</v>
      </c>
      <c r="AC63" s="115">
        <v>0</v>
      </c>
      <c r="AD63" s="115">
        <v>0</v>
      </c>
      <c r="AE63" s="275">
        <v>75000</v>
      </c>
      <c r="AF63" s="275">
        <v>125000</v>
      </c>
      <c r="AG63" s="275">
        <v>200000</v>
      </c>
      <c r="AH63" s="275">
        <v>200000</v>
      </c>
      <c r="AI63" s="275">
        <v>200000</v>
      </c>
      <c r="AJ63" s="275">
        <v>200000</v>
      </c>
      <c r="AK63" s="275">
        <v>200000</v>
      </c>
      <c r="AL63" s="275">
        <v>200000</v>
      </c>
      <c r="AM63" s="275">
        <v>200000</v>
      </c>
      <c r="AN63" s="275">
        <v>200000</v>
      </c>
      <c r="AO63" s="275">
        <v>700000</v>
      </c>
      <c r="AP63" s="47"/>
      <c r="AQ63" s="53">
        <f t="shared" si="28"/>
        <v>2500000</v>
      </c>
      <c r="AR63" s="51"/>
      <c r="AS63" s="357">
        <f t="shared" si="10"/>
        <v>0</v>
      </c>
    </row>
    <row r="64" spans="1:47" s="36" customFormat="1" ht="15.75" x14ac:dyDescent="0.25">
      <c r="A64" s="374" t="s">
        <v>591</v>
      </c>
      <c r="B64" s="375" t="s">
        <v>592</v>
      </c>
      <c r="C64" s="52" t="s">
        <v>45</v>
      </c>
      <c r="D64" s="52" t="s">
        <v>45</v>
      </c>
      <c r="E64" s="423" t="s">
        <v>890</v>
      </c>
      <c r="F64" s="61" t="s">
        <v>698</v>
      </c>
      <c r="G64" s="52" t="s">
        <v>623</v>
      </c>
      <c r="H64" s="52" t="s">
        <v>320</v>
      </c>
      <c r="I64" s="423" t="s">
        <v>825</v>
      </c>
      <c r="J64" s="423"/>
      <c r="K64" s="52">
        <v>44713</v>
      </c>
      <c r="L64" s="52">
        <v>44668</v>
      </c>
      <c r="M64" s="52">
        <v>44668</v>
      </c>
      <c r="N64" s="52">
        <v>44713</v>
      </c>
      <c r="O64" s="52">
        <f>M64+45</f>
        <v>44713</v>
      </c>
      <c r="P64" s="50">
        <f t="shared" si="25"/>
        <v>0</v>
      </c>
      <c r="Q64" s="50">
        <f t="shared" si="29"/>
        <v>45</v>
      </c>
      <c r="R64" s="50">
        <f t="shared" si="26"/>
        <v>45</v>
      </c>
      <c r="S64" s="52" t="s">
        <v>320</v>
      </c>
      <c r="T64" s="52">
        <v>44713</v>
      </c>
      <c r="U64" s="52">
        <f>T64+(6*4.3*7)</f>
        <v>44893.599999999999</v>
      </c>
      <c r="V64" s="50">
        <v>5.999999999999952</v>
      </c>
      <c r="W64" s="50">
        <f t="shared" si="30"/>
        <v>5.999999999999952</v>
      </c>
      <c r="X64" s="50"/>
      <c r="Y64" s="50"/>
      <c r="Z64" s="50"/>
      <c r="AA64" s="53">
        <v>400000</v>
      </c>
      <c r="AB64" s="211">
        <v>0</v>
      </c>
      <c r="AC64" s="115">
        <v>0</v>
      </c>
      <c r="AD64" s="115">
        <v>0</v>
      </c>
      <c r="AE64" s="275">
        <v>75000</v>
      </c>
      <c r="AF64" s="275">
        <v>75000</v>
      </c>
      <c r="AG64" s="275">
        <v>100000</v>
      </c>
      <c r="AH64" s="275">
        <v>75000</v>
      </c>
      <c r="AI64" s="58"/>
      <c r="AJ64" s="58"/>
      <c r="AK64" s="58"/>
      <c r="AL64" s="58"/>
      <c r="AM64" s="58">
        <v>25000</v>
      </c>
      <c r="AN64" s="58"/>
      <c r="AO64" s="58"/>
      <c r="AP64" s="47"/>
      <c r="AQ64" s="53">
        <f t="shared" si="28"/>
        <v>350000</v>
      </c>
      <c r="AR64" s="51"/>
      <c r="AS64" s="357">
        <f t="shared" si="10"/>
        <v>-50000</v>
      </c>
      <c r="AU64" s="55"/>
    </row>
    <row r="65" spans="1:47" s="36" customFormat="1" ht="15.75" x14ac:dyDescent="0.25">
      <c r="A65" s="34" t="s">
        <v>717</v>
      </c>
      <c r="B65" s="35" t="s">
        <v>524</v>
      </c>
      <c r="C65" s="52" t="s">
        <v>45</v>
      </c>
      <c r="D65" s="52" t="s">
        <v>45</v>
      </c>
      <c r="E65" s="423" t="s">
        <v>45</v>
      </c>
      <c r="F65" s="61" t="s">
        <v>522</v>
      </c>
      <c r="G65" s="52" t="s">
        <v>623</v>
      </c>
      <c r="H65" s="52" t="s">
        <v>320</v>
      </c>
      <c r="I65" s="423" t="s">
        <v>824</v>
      </c>
      <c r="J65" s="423"/>
      <c r="K65" s="52">
        <v>44652</v>
      </c>
      <c r="L65" s="52">
        <v>44668</v>
      </c>
      <c r="M65" s="52">
        <v>44668</v>
      </c>
      <c r="N65" s="52">
        <v>44713</v>
      </c>
      <c r="O65" s="52">
        <f>M65+45</f>
        <v>44713</v>
      </c>
      <c r="P65" s="50">
        <f t="shared" si="25"/>
        <v>61</v>
      </c>
      <c r="Q65" s="50">
        <f t="shared" si="29"/>
        <v>45</v>
      </c>
      <c r="R65" s="50">
        <f t="shared" si="26"/>
        <v>45</v>
      </c>
      <c r="S65" s="52" t="s">
        <v>320</v>
      </c>
      <c r="T65" s="52">
        <v>44713</v>
      </c>
      <c r="U65" s="52">
        <f>T65+(10*4.3*7)</f>
        <v>45014</v>
      </c>
      <c r="V65" s="50">
        <v>10</v>
      </c>
      <c r="W65" s="50">
        <f t="shared" si="30"/>
        <v>10</v>
      </c>
      <c r="X65" s="50"/>
      <c r="Y65" s="50"/>
      <c r="Z65" s="50"/>
      <c r="AA65" s="53">
        <v>3000000</v>
      </c>
      <c r="AB65" s="211">
        <v>0</v>
      </c>
      <c r="AC65" s="115">
        <v>0</v>
      </c>
      <c r="AD65" s="115">
        <v>0</v>
      </c>
      <c r="AE65" s="275">
        <v>125000</v>
      </c>
      <c r="AF65" s="275">
        <v>250000</v>
      </c>
      <c r="AG65" s="275">
        <v>300000</v>
      </c>
      <c r="AH65" s="275">
        <v>300000</v>
      </c>
      <c r="AI65" s="275">
        <v>300000</v>
      </c>
      <c r="AJ65" s="275">
        <v>300000</v>
      </c>
      <c r="AK65" s="275">
        <v>300000</v>
      </c>
      <c r="AL65" s="275">
        <v>300000</v>
      </c>
      <c r="AM65" s="275">
        <v>300000</v>
      </c>
      <c r="AN65" s="275">
        <v>300000</v>
      </c>
      <c r="AO65" s="275">
        <v>225000</v>
      </c>
      <c r="AP65" s="47"/>
      <c r="AQ65" s="53">
        <f t="shared" si="28"/>
        <v>3000000</v>
      </c>
      <c r="AR65" s="51"/>
      <c r="AS65" s="357">
        <f t="shared" si="10"/>
        <v>0</v>
      </c>
    </row>
    <row r="66" spans="1:47" s="36" customFormat="1" ht="15.75" x14ac:dyDescent="0.25">
      <c r="A66" s="462" t="s">
        <v>719</v>
      </c>
      <c r="B66" s="393" t="s">
        <v>661</v>
      </c>
      <c r="C66" s="52" t="s">
        <v>874</v>
      </c>
      <c r="D66" s="52" t="s">
        <v>402</v>
      </c>
      <c r="E66" s="423" t="s">
        <v>893</v>
      </c>
      <c r="F66" s="61"/>
      <c r="G66" s="52" t="s">
        <v>623</v>
      </c>
      <c r="H66" s="52" t="s">
        <v>320</v>
      </c>
      <c r="I66" s="423" t="s">
        <v>826</v>
      </c>
      <c r="J66" s="423"/>
      <c r="K66" s="330">
        <v>44544</v>
      </c>
      <c r="L66" s="52">
        <v>44589</v>
      </c>
      <c r="M66" s="330">
        <v>44532</v>
      </c>
      <c r="N66" s="52">
        <v>44619</v>
      </c>
      <c r="O66" s="109">
        <v>44641</v>
      </c>
      <c r="P66" s="50">
        <f t="shared" si="25"/>
        <v>97</v>
      </c>
      <c r="Q66" s="50">
        <f t="shared" si="29"/>
        <v>30</v>
      </c>
      <c r="R66" s="50">
        <f t="shared" si="26"/>
        <v>109</v>
      </c>
      <c r="S66" s="52" t="s">
        <v>320</v>
      </c>
      <c r="T66" s="376">
        <f>O66</f>
        <v>44641</v>
      </c>
      <c r="U66" s="347">
        <v>44804</v>
      </c>
      <c r="V66" s="50">
        <v>6.3455149501661126</v>
      </c>
      <c r="W66" s="50">
        <f t="shared" si="30"/>
        <v>5.4152823920265778</v>
      </c>
      <c r="X66" s="50"/>
      <c r="Y66" s="50"/>
      <c r="Z66" s="50" t="s">
        <v>370</v>
      </c>
      <c r="AA66" s="182">
        <v>2860072</v>
      </c>
      <c r="AB66" s="211">
        <v>0</v>
      </c>
      <c r="AC66" s="115">
        <v>0</v>
      </c>
      <c r="AD66" s="115">
        <v>125981</v>
      </c>
      <c r="AE66" s="275">
        <v>250000</v>
      </c>
      <c r="AF66" s="275">
        <v>250000</v>
      </c>
      <c r="AG66" s="275">
        <v>250000</v>
      </c>
      <c r="AH66" s="275">
        <v>300000</v>
      </c>
      <c r="AI66" s="275">
        <v>300000</v>
      </c>
      <c r="AJ66" s="275">
        <v>300000</v>
      </c>
      <c r="AK66" s="275">
        <v>300000</v>
      </c>
      <c r="AL66" s="275">
        <v>300000</v>
      </c>
      <c r="AM66" s="275">
        <v>300000</v>
      </c>
      <c r="AN66" s="275">
        <v>310072</v>
      </c>
      <c r="AO66" s="58"/>
      <c r="AP66" s="47"/>
      <c r="AQ66" s="53">
        <f t="shared" si="28"/>
        <v>2986053</v>
      </c>
      <c r="AR66" s="51"/>
      <c r="AS66" s="357">
        <f t="shared" si="10"/>
        <v>125981</v>
      </c>
    </row>
    <row r="67" spans="1:47" s="36" customFormat="1" ht="15.75" x14ac:dyDescent="0.25">
      <c r="A67" s="34" t="s">
        <v>744</v>
      </c>
      <c r="B67" s="34" t="s">
        <v>733</v>
      </c>
      <c r="C67" s="52" t="s">
        <v>45</v>
      </c>
      <c r="D67" s="52" t="s">
        <v>45</v>
      </c>
      <c r="E67" s="52" t="s">
        <v>45</v>
      </c>
      <c r="F67" s="34"/>
      <c r="G67" s="52" t="s">
        <v>623</v>
      </c>
      <c r="H67" s="52" t="s">
        <v>320</v>
      </c>
      <c r="I67" s="52" t="s">
        <v>824</v>
      </c>
      <c r="J67" s="52"/>
      <c r="K67" s="52" t="s">
        <v>320</v>
      </c>
      <c r="L67" s="52">
        <v>44713</v>
      </c>
      <c r="M67" s="52">
        <v>44713</v>
      </c>
      <c r="N67" s="52">
        <v>44758</v>
      </c>
      <c r="O67" s="52">
        <f>M67+45</f>
        <v>44758</v>
      </c>
      <c r="P67" s="50" t="e">
        <f t="shared" si="25"/>
        <v>#VALUE!</v>
      </c>
      <c r="Q67" s="50">
        <f t="shared" si="29"/>
        <v>45</v>
      </c>
      <c r="R67" s="50">
        <f t="shared" si="26"/>
        <v>45</v>
      </c>
      <c r="S67" s="52" t="s">
        <v>320</v>
      </c>
      <c r="T67" s="52">
        <f>O67+30</f>
        <v>44788</v>
      </c>
      <c r="U67" s="52">
        <f>T67+(6*4.3*7)</f>
        <v>44968.6</v>
      </c>
      <c r="V67" s="50">
        <v>5.999999999999952</v>
      </c>
      <c r="W67" s="50">
        <f t="shared" si="30"/>
        <v>5.999999999999952</v>
      </c>
      <c r="X67" s="50"/>
      <c r="Y67" s="50"/>
      <c r="Z67" s="50"/>
      <c r="AA67" s="53">
        <v>750000</v>
      </c>
      <c r="AB67" s="211">
        <v>0</v>
      </c>
      <c r="AC67" s="115">
        <v>0</v>
      </c>
      <c r="AD67" s="115">
        <v>0</v>
      </c>
      <c r="AE67" s="275">
        <v>50000</v>
      </c>
      <c r="AF67" s="275">
        <v>75000</v>
      </c>
      <c r="AG67" s="275">
        <v>130000</v>
      </c>
      <c r="AH67" s="275">
        <v>130000</v>
      </c>
      <c r="AI67" s="275">
        <v>130000</v>
      </c>
      <c r="AJ67" s="275">
        <v>130000</v>
      </c>
      <c r="AK67" s="275">
        <v>105000</v>
      </c>
      <c r="AL67" s="58"/>
      <c r="AM67" s="58"/>
      <c r="AN67" s="58"/>
      <c r="AO67" s="53"/>
      <c r="AP67" s="47"/>
      <c r="AQ67" s="53">
        <f t="shared" si="28"/>
        <v>750000</v>
      </c>
      <c r="AR67" s="51"/>
      <c r="AS67" s="357">
        <f t="shared" si="10"/>
        <v>0</v>
      </c>
      <c r="AU67" s="55"/>
    </row>
    <row r="68" spans="1:47" s="36" customFormat="1" ht="15.75" x14ac:dyDescent="0.25">
      <c r="A68" s="374" t="s">
        <v>764</v>
      </c>
      <c r="B68" s="375" t="s">
        <v>765</v>
      </c>
      <c r="C68" s="52" t="s">
        <v>886</v>
      </c>
      <c r="D68" s="52" t="s">
        <v>401</v>
      </c>
      <c r="E68" s="52" t="s">
        <v>890</v>
      </c>
      <c r="F68" s="34"/>
      <c r="G68" s="52" t="s">
        <v>912</v>
      </c>
      <c r="H68" s="330">
        <v>44615</v>
      </c>
      <c r="I68" s="52" t="s">
        <v>829</v>
      </c>
      <c r="J68" s="52"/>
      <c r="K68" s="330">
        <v>44610</v>
      </c>
      <c r="L68" s="52">
        <v>44591</v>
      </c>
      <c r="M68" s="330">
        <v>44593</v>
      </c>
      <c r="N68" s="52">
        <v>44621</v>
      </c>
      <c r="O68" s="330">
        <v>44609</v>
      </c>
      <c r="P68" s="333">
        <f t="shared" si="25"/>
        <v>-1</v>
      </c>
      <c r="Q68" s="50">
        <f t="shared" si="29"/>
        <v>30</v>
      </c>
      <c r="R68" s="50">
        <f t="shared" si="29"/>
        <v>16</v>
      </c>
      <c r="S68" s="52" t="s">
        <v>370</v>
      </c>
      <c r="T68" s="377">
        <v>44636</v>
      </c>
      <c r="U68" s="490">
        <v>44867</v>
      </c>
      <c r="V68" s="50">
        <v>9.0000000000000497</v>
      </c>
      <c r="W68" s="50">
        <f t="shared" si="30"/>
        <v>7.6744186046511631</v>
      </c>
      <c r="X68" s="50"/>
      <c r="Y68" s="50"/>
      <c r="Z68" s="50"/>
      <c r="AA68" s="53">
        <v>1360000</v>
      </c>
      <c r="AB68" s="211">
        <v>0</v>
      </c>
      <c r="AC68" s="115">
        <v>0</v>
      </c>
      <c r="AD68" s="115">
        <v>170543</v>
      </c>
      <c r="AE68" s="58"/>
      <c r="AF68" s="58"/>
      <c r="AG68" s="58"/>
      <c r="AH68" s="58"/>
      <c r="AI68" s="58"/>
      <c r="AJ68" s="58"/>
      <c r="AK68" s="58"/>
      <c r="AL68" s="58"/>
      <c r="AM68" s="58"/>
      <c r="AN68" s="58">
        <v>1360000</v>
      </c>
      <c r="AO68" s="53"/>
      <c r="AP68" s="47"/>
      <c r="AQ68" s="53">
        <f t="shared" si="28"/>
        <v>1530543</v>
      </c>
      <c r="AR68" s="51"/>
      <c r="AS68" s="357">
        <f t="shared" si="10"/>
        <v>170543</v>
      </c>
      <c r="AU68" s="55"/>
    </row>
    <row r="69" spans="1:47" s="36" customFormat="1" ht="15.75" x14ac:dyDescent="0.25">
      <c r="A69" s="386" t="s">
        <v>768</v>
      </c>
      <c r="B69" s="393" t="s">
        <v>909</v>
      </c>
      <c r="C69" s="52" t="s">
        <v>886</v>
      </c>
      <c r="D69" s="52" t="s">
        <v>401</v>
      </c>
      <c r="E69" s="52" t="s">
        <v>890</v>
      </c>
      <c r="F69" s="34"/>
      <c r="G69" s="52" t="s">
        <v>912</v>
      </c>
      <c r="H69" s="330">
        <v>44615</v>
      </c>
      <c r="I69" s="52" t="s">
        <v>829</v>
      </c>
      <c r="J69" s="52"/>
      <c r="K69" s="330">
        <v>44610</v>
      </c>
      <c r="L69" s="52">
        <v>44591</v>
      </c>
      <c r="M69" s="330">
        <v>44593</v>
      </c>
      <c r="N69" s="52">
        <v>44636</v>
      </c>
      <c r="O69" s="330">
        <v>44609</v>
      </c>
      <c r="P69" s="333">
        <f t="shared" si="25"/>
        <v>-1</v>
      </c>
      <c r="Q69" s="50">
        <f t="shared" si="29"/>
        <v>45</v>
      </c>
      <c r="R69" s="50">
        <f t="shared" si="29"/>
        <v>16</v>
      </c>
      <c r="S69" s="52" t="s">
        <v>370</v>
      </c>
      <c r="T69" s="276">
        <f>O69+75</f>
        <v>44684</v>
      </c>
      <c r="U69" s="276">
        <f>T69+(6*4.3*7)</f>
        <v>44864.6</v>
      </c>
      <c r="V69" s="491">
        <v>5</v>
      </c>
      <c r="W69" s="50">
        <f t="shared" si="30"/>
        <v>5.999999999999952</v>
      </c>
      <c r="X69" s="50"/>
      <c r="Y69" s="50"/>
      <c r="Z69" s="50"/>
      <c r="AA69" s="53">
        <v>175000</v>
      </c>
      <c r="AB69" s="211">
        <v>0</v>
      </c>
      <c r="AC69" s="115">
        <v>0</v>
      </c>
      <c r="AD69" s="115">
        <v>0</v>
      </c>
      <c r="AE69" s="58"/>
      <c r="AF69" s="58"/>
      <c r="AG69" s="58"/>
      <c r="AH69" s="58"/>
      <c r="AI69" s="58"/>
      <c r="AJ69" s="58"/>
      <c r="AK69" s="58"/>
      <c r="AL69" s="58"/>
      <c r="AM69" s="58"/>
      <c r="AN69" s="58">
        <v>175000</v>
      </c>
      <c r="AO69" s="53"/>
      <c r="AP69" s="47"/>
      <c r="AQ69" s="53">
        <f t="shared" si="28"/>
        <v>175000</v>
      </c>
      <c r="AR69" s="51"/>
      <c r="AS69" s="357">
        <f t="shared" si="10"/>
        <v>0</v>
      </c>
      <c r="AU69" s="55"/>
    </row>
    <row r="70" spans="1:47" s="36" customFormat="1" ht="15.75" x14ac:dyDescent="0.25">
      <c r="A70" s="374" t="s">
        <v>770</v>
      </c>
      <c r="B70" s="375" t="s">
        <v>910</v>
      </c>
      <c r="C70" s="52" t="s">
        <v>886</v>
      </c>
      <c r="D70" s="52" t="s">
        <v>401</v>
      </c>
      <c r="E70" s="52" t="s">
        <v>890</v>
      </c>
      <c r="F70" s="34"/>
      <c r="G70" s="52" t="s">
        <v>912</v>
      </c>
      <c r="H70" s="330">
        <v>44615</v>
      </c>
      <c r="I70" s="52" t="s">
        <v>829</v>
      </c>
      <c r="J70" s="52"/>
      <c r="K70" s="330">
        <v>44610</v>
      </c>
      <c r="L70" s="52">
        <v>44591</v>
      </c>
      <c r="M70" s="330">
        <v>44593</v>
      </c>
      <c r="N70" s="52">
        <v>44636</v>
      </c>
      <c r="O70" s="330">
        <v>44609</v>
      </c>
      <c r="P70" s="333">
        <f t="shared" si="25"/>
        <v>-1</v>
      </c>
      <c r="Q70" s="50">
        <f t="shared" si="29"/>
        <v>45</v>
      </c>
      <c r="R70" s="50">
        <f t="shared" si="29"/>
        <v>16</v>
      </c>
      <c r="S70" s="52" t="s">
        <v>370</v>
      </c>
      <c r="T70" s="276">
        <f>O70+75</f>
        <v>44684</v>
      </c>
      <c r="U70" s="276">
        <f>T70+(6*4.3*7)</f>
        <v>44864.6</v>
      </c>
      <c r="V70" s="491">
        <v>5</v>
      </c>
      <c r="W70" s="50">
        <f t="shared" si="30"/>
        <v>5.999999999999952</v>
      </c>
      <c r="X70" s="50"/>
      <c r="Y70" s="50"/>
      <c r="Z70" s="50"/>
      <c r="AA70" s="53">
        <v>300000</v>
      </c>
      <c r="AB70" s="211">
        <v>0</v>
      </c>
      <c r="AC70" s="115">
        <v>0</v>
      </c>
      <c r="AD70" s="115">
        <v>0</v>
      </c>
      <c r="AE70" s="58"/>
      <c r="AF70" s="58"/>
      <c r="AG70" s="58"/>
      <c r="AH70" s="58"/>
      <c r="AI70" s="58"/>
      <c r="AJ70" s="58"/>
      <c r="AK70" s="58"/>
      <c r="AL70" s="58"/>
      <c r="AM70" s="58"/>
      <c r="AN70" s="58">
        <v>300000</v>
      </c>
      <c r="AO70" s="53"/>
      <c r="AP70" s="47"/>
      <c r="AQ70" s="53">
        <f t="shared" si="28"/>
        <v>300000</v>
      </c>
      <c r="AR70" s="51"/>
      <c r="AS70" s="357">
        <f t="shared" si="10"/>
        <v>0</v>
      </c>
    </row>
    <row r="71" spans="1:47" s="36" customFormat="1" ht="15.75" x14ac:dyDescent="0.25">
      <c r="A71" s="374" t="s">
        <v>771</v>
      </c>
      <c r="B71" s="410" t="s">
        <v>911</v>
      </c>
      <c r="C71" s="52" t="s">
        <v>886</v>
      </c>
      <c r="D71" s="52" t="s">
        <v>401</v>
      </c>
      <c r="E71" s="52" t="s">
        <v>890</v>
      </c>
      <c r="F71" s="34"/>
      <c r="G71" s="52" t="s">
        <v>912</v>
      </c>
      <c r="H71" s="330">
        <v>44615</v>
      </c>
      <c r="I71" s="52" t="s">
        <v>829</v>
      </c>
      <c r="J71" s="52"/>
      <c r="K71" s="330">
        <v>44610</v>
      </c>
      <c r="L71" s="52">
        <v>44591</v>
      </c>
      <c r="M71" s="330">
        <v>44713</v>
      </c>
      <c r="N71" s="52">
        <v>44636</v>
      </c>
      <c r="O71" s="52">
        <f>M71+45</f>
        <v>44758</v>
      </c>
      <c r="P71" s="50">
        <f t="shared" si="25"/>
        <v>148</v>
      </c>
      <c r="Q71" s="50">
        <f t="shared" si="29"/>
        <v>45</v>
      </c>
      <c r="R71" s="50">
        <f t="shared" si="29"/>
        <v>45</v>
      </c>
      <c r="S71" s="52" t="s">
        <v>320</v>
      </c>
      <c r="T71" s="376">
        <f>O71+30</f>
        <v>44788</v>
      </c>
      <c r="U71" s="490">
        <f>T71+(4*4.3*7)</f>
        <v>44908.4</v>
      </c>
      <c r="V71" s="491">
        <v>5</v>
      </c>
      <c r="W71" s="50">
        <f t="shared" si="30"/>
        <v>4.0000000000000488</v>
      </c>
      <c r="X71" s="50"/>
      <c r="Y71" s="50"/>
      <c r="Z71" s="50"/>
      <c r="AA71" s="53">
        <v>95000</v>
      </c>
      <c r="AB71" s="211">
        <v>0</v>
      </c>
      <c r="AC71" s="115">
        <v>0</v>
      </c>
      <c r="AD71" s="115">
        <v>0</v>
      </c>
      <c r="AE71" s="58"/>
      <c r="AF71" s="58"/>
      <c r="AG71" s="58"/>
      <c r="AH71" s="58"/>
      <c r="AI71" s="58"/>
      <c r="AJ71" s="58"/>
      <c r="AK71" s="58"/>
      <c r="AL71" s="58"/>
      <c r="AM71" s="58"/>
      <c r="AN71" s="58">
        <v>95000</v>
      </c>
      <c r="AO71" s="53"/>
      <c r="AP71" s="47"/>
      <c r="AQ71" s="53">
        <f t="shared" si="28"/>
        <v>95000</v>
      </c>
      <c r="AR71" s="51"/>
      <c r="AS71" s="357">
        <f t="shared" si="10"/>
        <v>0</v>
      </c>
      <c r="AU71" s="55"/>
    </row>
    <row r="72" spans="1:47" s="36" customFormat="1" ht="15.75" x14ac:dyDescent="0.25">
      <c r="A72" s="374" t="s">
        <v>845</v>
      </c>
      <c r="B72" s="375" t="s">
        <v>776</v>
      </c>
      <c r="C72" s="52" t="s">
        <v>874</v>
      </c>
      <c r="D72" s="52" t="s">
        <v>873</v>
      </c>
      <c r="E72" s="52" t="s">
        <v>890</v>
      </c>
      <c r="F72" s="56" t="s">
        <v>862</v>
      </c>
      <c r="G72" s="52" t="s">
        <v>623</v>
      </c>
      <c r="H72" s="52" t="s">
        <v>320</v>
      </c>
      <c r="I72" s="52" t="s">
        <v>832</v>
      </c>
      <c r="J72" s="52"/>
      <c r="K72" s="52">
        <v>44681</v>
      </c>
      <c r="L72" s="52">
        <v>44591</v>
      </c>
      <c r="M72" s="330">
        <v>44576</v>
      </c>
      <c r="N72" s="52">
        <v>44621</v>
      </c>
      <c r="O72" s="52">
        <v>44681</v>
      </c>
      <c r="P72" s="50">
        <f t="shared" si="25"/>
        <v>0</v>
      </c>
      <c r="Q72" s="50">
        <f t="shared" si="29"/>
        <v>30</v>
      </c>
      <c r="R72" s="50">
        <f t="shared" si="29"/>
        <v>105</v>
      </c>
      <c r="S72" s="52" t="s">
        <v>320</v>
      </c>
      <c r="T72" s="376">
        <v>44681</v>
      </c>
      <c r="U72" s="52">
        <f>T72+(9*4.3*7)</f>
        <v>44951.9</v>
      </c>
      <c r="V72" s="50">
        <v>9.0000000000000497</v>
      </c>
      <c r="W72" s="50">
        <f t="shared" si="30"/>
        <v>9.0000000000000497</v>
      </c>
      <c r="X72" s="50"/>
      <c r="Y72" s="50"/>
      <c r="Z72" s="50"/>
      <c r="AA72" s="53">
        <v>2000000</v>
      </c>
      <c r="AB72" s="211">
        <v>0</v>
      </c>
      <c r="AC72" s="115">
        <v>0</v>
      </c>
      <c r="AD72" s="115">
        <v>0</v>
      </c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3">
        <v>2000000</v>
      </c>
      <c r="AP72" s="47"/>
      <c r="AQ72" s="53">
        <f t="shared" si="28"/>
        <v>2000000</v>
      </c>
      <c r="AR72" s="51"/>
      <c r="AS72" s="357">
        <f t="shared" si="10"/>
        <v>0</v>
      </c>
    </row>
    <row r="73" spans="1:47" s="36" customFormat="1" ht="15.75" x14ac:dyDescent="0.25">
      <c r="A73" s="185" t="s">
        <v>800</v>
      </c>
      <c r="B73" s="35" t="s">
        <v>799</v>
      </c>
      <c r="C73" s="52" t="s">
        <v>874</v>
      </c>
      <c r="D73" s="52" t="s">
        <v>873</v>
      </c>
      <c r="E73" s="422" t="s">
        <v>890</v>
      </c>
      <c r="F73" s="57" t="s">
        <v>862</v>
      </c>
      <c r="G73" s="52" t="s">
        <v>623</v>
      </c>
      <c r="H73" s="52" t="s">
        <v>320</v>
      </c>
      <c r="I73" s="423" t="s">
        <v>811</v>
      </c>
      <c r="J73" s="423"/>
      <c r="K73" s="330">
        <v>44566</v>
      </c>
      <c r="L73" s="52"/>
      <c r="M73" s="52"/>
      <c r="N73" s="52"/>
      <c r="O73" s="52"/>
      <c r="P73" s="50">
        <f t="shared" si="25"/>
        <v>-44566</v>
      </c>
      <c r="Q73" s="50">
        <f t="shared" si="29"/>
        <v>0</v>
      </c>
      <c r="R73" s="50">
        <f t="shared" si="29"/>
        <v>0</v>
      </c>
      <c r="S73" s="52" t="s">
        <v>320</v>
      </c>
      <c r="T73" s="52"/>
      <c r="U73" s="52"/>
      <c r="V73" s="50"/>
      <c r="W73" s="68"/>
      <c r="X73" s="50"/>
      <c r="Y73" s="50"/>
      <c r="Z73" s="50"/>
      <c r="AA73" s="53"/>
      <c r="AB73" s="211">
        <v>0</v>
      </c>
      <c r="AC73" s="115">
        <v>0</v>
      </c>
      <c r="AD73" s="115">
        <v>0</v>
      </c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3"/>
      <c r="AP73" s="47"/>
      <c r="AQ73" s="53">
        <f t="shared" si="28"/>
        <v>0</v>
      </c>
      <c r="AR73" s="51"/>
      <c r="AS73" s="357">
        <f t="shared" si="10"/>
        <v>0</v>
      </c>
    </row>
    <row r="74" spans="1:47" s="36" customFormat="1" ht="15.75" x14ac:dyDescent="0.25">
      <c r="A74" s="461" t="s">
        <v>851</v>
      </c>
      <c r="B74" s="410" t="s">
        <v>920</v>
      </c>
      <c r="C74" s="52" t="s">
        <v>874</v>
      </c>
      <c r="D74" s="52" t="s">
        <v>873</v>
      </c>
      <c r="E74" s="52" t="s">
        <v>890</v>
      </c>
      <c r="F74" s="56" t="s">
        <v>862</v>
      </c>
      <c r="G74" s="52" t="s">
        <v>623</v>
      </c>
      <c r="H74" s="52" t="s">
        <v>320</v>
      </c>
      <c r="I74" s="52" t="s">
        <v>832</v>
      </c>
      <c r="J74" s="52"/>
      <c r="K74" s="52">
        <v>44726</v>
      </c>
      <c r="L74" s="52">
        <v>44726</v>
      </c>
      <c r="M74" s="52">
        <v>44726</v>
      </c>
      <c r="N74" s="52">
        <v>44605</v>
      </c>
      <c r="O74" s="52">
        <f>M74+45</f>
        <v>44771</v>
      </c>
      <c r="P74" s="50">
        <f t="shared" si="25"/>
        <v>45</v>
      </c>
      <c r="Q74" s="50">
        <f t="shared" si="29"/>
        <v>-121</v>
      </c>
      <c r="R74" s="50">
        <f t="shared" si="29"/>
        <v>45</v>
      </c>
      <c r="S74" s="52" t="s">
        <v>320</v>
      </c>
      <c r="T74" s="376">
        <f t="shared" ref="T74:T79" si="31">O74+20</f>
        <v>44791</v>
      </c>
      <c r="U74" s="52">
        <f>T74+(4*4.3*7)</f>
        <v>44911.4</v>
      </c>
      <c r="V74" s="50">
        <v>4</v>
      </c>
      <c r="W74" s="50">
        <f t="shared" ref="W74:W82" si="32">((U74-T74)/7)/4.3</f>
        <v>4.0000000000000488</v>
      </c>
      <c r="X74" s="50"/>
      <c r="Y74" s="50"/>
      <c r="Z74" s="50"/>
      <c r="AA74" s="53"/>
      <c r="AB74" s="211">
        <v>0</v>
      </c>
      <c r="AC74" s="115">
        <v>0</v>
      </c>
      <c r="AD74" s="115">
        <v>0</v>
      </c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3"/>
      <c r="AP74" s="47"/>
      <c r="AQ74" s="53">
        <f t="shared" si="28"/>
        <v>0</v>
      </c>
      <c r="AR74" s="51"/>
      <c r="AS74" s="357">
        <f t="shared" si="10"/>
        <v>0</v>
      </c>
    </row>
    <row r="75" spans="1:47" s="36" customFormat="1" ht="15.75" x14ac:dyDescent="0.25">
      <c r="A75" s="374" t="s">
        <v>852</v>
      </c>
      <c r="B75" s="410" t="s">
        <v>921</v>
      </c>
      <c r="C75" s="52" t="s">
        <v>874</v>
      </c>
      <c r="D75" s="52" t="s">
        <v>873</v>
      </c>
      <c r="E75" s="52" t="s">
        <v>890</v>
      </c>
      <c r="F75" s="56" t="s">
        <v>862</v>
      </c>
      <c r="G75" s="52" t="s">
        <v>623</v>
      </c>
      <c r="H75" s="52" t="s">
        <v>320</v>
      </c>
      <c r="I75" s="52" t="s">
        <v>832</v>
      </c>
      <c r="J75" s="52"/>
      <c r="K75" s="52">
        <v>44726</v>
      </c>
      <c r="L75" s="52">
        <v>44726</v>
      </c>
      <c r="M75" s="52">
        <v>44726</v>
      </c>
      <c r="N75" s="52">
        <v>44605</v>
      </c>
      <c r="O75" s="52">
        <f>M75+45</f>
        <v>44771</v>
      </c>
      <c r="P75" s="50">
        <f t="shared" si="25"/>
        <v>45</v>
      </c>
      <c r="Q75" s="50">
        <f t="shared" si="29"/>
        <v>-121</v>
      </c>
      <c r="R75" s="50">
        <f t="shared" si="29"/>
        <v>45</v>
      </c>
      <c r="S75" s="52" t="s">
        <v>320</v>
      </c>
      <c r="T75" s="376">
        <f t="shared" si="31"/>
        <v>44791</v>
      </c>
      <c r="U75" s="52">
        <f>T75+(4*4.3*7)</f>
        <v>44911.4</v>
      </c>
      <c r="V75" s="50">
        <v>4</v>
      </c>
      <c r="W75" s="50">
        <f t="shared" si="32"/>
        <v>4.0000000000000488</v>
      </c>
      <c r="X75" s="50"/>
      <c r="Y75" s="50"/>
      <c r="Z75" s="50"/>
      <c r="AA75" s="53"/>
      <c r="AB75" s="211">
        <v>0</v>
      </c>
      <c r="AC75" s="115">
        <v>0</v>
      </c>
      <c r="AD75" s="115">
        <v>0</v>
      </c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3"/>
      <c r="AP75" s="47"/>
      <c r="AQ75" s="53">
        <f t="shared" si="28"/>
        <v>0</v>
      </c>
      <c r="AR75" s="51"/>
      <c r="AS75" s="357">
        <f t="shared" si="10"/>
        <v>0</v>
      </c>
    </row>
    <row r="76" spans="1:47" s="36" customFormat="1" ht="15.75" x14ac:dyDescent="0.25">
      <c r="A76" s="461" t="s">
        <v>853</v>
      </c>
      <c r="B76" s="410" t="s">
        <v>922</v>
      </c>
      <c r="C76" s="52" t="s">
        <v>874</v>
      </c>
      <c r="D76" s="52" t="s">
        <v>873</v>
      </c>
      <c r="E76" s="52" t="s">
        <v>890</v>
      </c>
      <c r="F76" s="389" t="s">
        <v>862</v>
      </c>
      <c r="G76" s="52" t="s">
        <v>623</v>
      </c>
      <c r="H76" s="52" t="s">
        <v>320</v>
      </c>
      <c r="I76" s="426" t="s">
        <v>832</v>
      </c>
      <c r="J76" s="426"/>
      <c r="K76" s="52">
        <v>44726</v>
      </c>
      <c r="L76" s="52">
        <v>44726</v>
      </c>
      <c r="M76" s="52">
        <v>44726</v>
      </c>
      <c r="N76" s="52">
        <v>44605</v>
      </c>
      <c r="O76" s="52">
        <f>M76+45</f>
        <v>44771</v>
      </c>
      <c r="P76" s="50">
        <f t="shared" si="25"/>
        <v>45</v>
      </c>
      <c r="Q76" s="50">
        <f t="shared" si="29"/>
        <v>-121</v>
      </c>
      <c r="R76" s="50">
        <f t="shared" si="29"/>
        <v>45</v>
      </c>
      <c r="S76" s="52" t="s">
        <v>320</v>
      </c>
      <c r="T76" s="376">
        <f t="shared" si="31"/>
        <v>44791</v>
      </c>
      <c r="U76" s="52">
        <f>T76+(4*4.3*7)</f>
        <v>44911.4</v>
      </c>
      <c r="V76" s="50">
        <v>4</v>
      </c>
      <c r="W76" s="50">
        <f t="shared" si="32"/>
        <v>4.0000000000000488</v>
      </c>
      <c r="X76" s="50"/>
      <c r="Y76" s="50"/>
      <c r="Z76" s="50"/>
      <c r="AA76" s="53"/>
      <c r="AB76" s="211">
        <v>0</v>
      </c>
      <c r="AC76" s="115">
        <v>0</v>
      </c>
      <c r="AD76" s="115">
        <v>0</v>
      </c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3"/>
      <c r="AP76" s="47"/>
      <c r="AQ76" s="53">
        <f t="shared" ref="AQ76:AQ82" si="33">SUM(AB76:AP76)</f>
        <v>0</v>
      </c>
      <c r="AR76" s="51"/>
      <c r="AS76" s="357">
        <f t="shared" si="10"/>
        <v>0</v>
      </c>
    </row>
    <row r="77" spans="1:47" s="36" customFormat="1" ht="15.75" x14ac:dyDescent="0.25">
      <c r="A77" s="374" t="s">
        <v>854</v>
      </c>
      <c r="B77" s="410" t="s">
        <v>923</v>
      </c>
      <c r="C77" s="52" t="s">
        <v>874</v>
      </c>
      <c r="D77" s="52" t="s">
        <v>873</v>
      </c>
      <c r="E77" s="52" t="s">
        <v>890</v>
      </c>
      <c r="F77" s="57" t="s">
        <v>862</v>
      </c>
      <c r="G77" s="52" t="s">
        <v>623</v>
      </c>
      <c r="H77" s="52" t="s">
        <v>320</v>
      </c>
      <c r="I77" s="422" t="s">
        <v>832</v>
      </c>
      <c r="J77" s="422"/>
      <c r="K77" s="52">
        <v>44726</v>
      </c>
      <c r="L77" s="52">
        <v>44726</v>
      </c>
      <c r="M77" s="52">
        <v>44726</v>
      </c>
      <c r="N77" s="52">
        <v>44605</v>
      </c>
      <c r="O77" s="52">
        <f>M77+45</f>
        <v>44771</v>
      </c>
      <c r="P77" s="50">
        <f t="shared" si="25"/>
        <v>45</v>
      </c>
      <c r="Q77" s="50">
        <f t="shared" si="29"/>
        <v>-121</v>
      </c>
      <c r="R77" s="50">
        <f t="shared" si="29"/>
        <v>45</v>
      </c>
      <c r="S77" s="52" t="s">
        <v>320</v>
      </c>
      <c r="T77" s="376">
        <f t="shared" si="31"/>
        <v>44791</v>
      </c>
      <c r="U77" s="52">
        <f>T77+(4*4.3*7)</f>
        <v>44911.4</v>
      </c>
      <c r="V77" s="50">
        <v>4</v>
      </c>
      <c r="W77" s="50">
        <f t="shared" si="32"/>
        <v>4.0000000000000488</v>
      </c>
      <c r="X77" s="50"/>
      <c r="Y77" s="50"/>
      <c r="Z77" s="50"/>
      <c r="AA77" s="53"/>
      <c r="AB77" s="211">
        <v>0</v>
      </c>
      <c r="AC77" s="115">
        <v>0</v>
      </c>
      <c r="AD77" s="115">
        <v>0</v>
      </c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3"/>
      <c r="AP77" s="47"/>
      <c r="AQ77" s="53">
        <f t="shared" si="33"/>
        <v>0</v>
      </c>
      <c r="AR77" s="51"/>
      <c r="AS77" s="357">
        <f t="shared" si="10"/>
        <v>0</v>
      </c>
    </row>
    <row r="78" spans="1:47" s="36" customFormat="1" ht="15.75" x14ac:dyDescent="0.25">
      <c r="A78" s="374" t="s">
        <v>855</v>
      </c>
      <c r="B78" s="410" t="s">
        <v>924</v>
      </c>
      <c r="C78" s="52" t="s">
        <v>874</v>
      </c>
      <c r="D78" s="52" t="s">
        <v>873</v>
      </c>
      <c r="E78" s="52" t="s">
        <v>890</v>
      </c>
      <c r="F78" s="57" t="s">
        <v>862</v>
      </c>
      <c r="G78" s="52" t="s">
        <v>623</v>
      </c>
      <c r="H78" s="52" t="s">
        <v>320</v>
      </c>
      <c r="I78" s="422" t="s">
        <v>832</v>
      </c>
      <c r="J78" s="422"/>
      <c r="K78" s="52">
        <v>44726</v>
      </c>
      <c r="L78" s="52">
        <v>44726</v>
      </c>
      <c r="M78" s="52">
        <v>44726</v>
      </c>
      <c r="N78" s="52">
        <v>44605</v>
      </c>
      <c r="O78" s="52">
        <f>M78+45</f>
        <v>44771</v>
      </c>
      <c r="P78" s="50">
        <f t="shared" si="25"/>
        <v>45</v>
      </c>
      <c r="Q78" s="50">
        <f t="shared" si="29"/>
        <v>-121</v>
      </c>
      <c r="R78" s="50">
        <f t="shared" si="29"/>
        <v>45</v>
      </c>
      <c r="S78" s="52" t="s">
        <v>320</v>
      </c>
      <c r="T78" s="376">
        <f t="shared" si="31"/>
        <v>44791</v>
      </c>
      <c r="U78" s="52">
        <f>T78+(4*4.3*7)</f>
        <v>44911.4</v>
      </c>
      <c r="V78" s="50">
        <v>4</v>
      </c>
      <c r="W78" s="50">
        <f t="shared" si="32"/>
        <v>4.0000000000000488</v>
      </c>
      <c r="X78" s="50"/>
      <c r="Y78" s="50"/>
      <c r="Z78" s="50"/>
      <c r="AA78" s="53"/>
      <c r="AB78" s="211">
        <v>0</v>
      </c>
      <c r="AC78" s="115">
        <v>0</v>
      </c>
      <c r="AD78" s="115">
        <v>0</v>
      </c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3"/>
      <c r="AP78" s="47"/>
      <c r="AQ78" s="53">
        <f t="shared" si="33"/>
        <v>0</v>
      </c>
      <c r="AR78" s="51"/>
      <c r="AS78" s="357">
        <f t="shared" si="10"/>
        <v>0</v>
      </c>
    </row>
    <row r="79" spans="1:47" s="36" customFormat="1" ht="15.75" x14ac:dyDescent="0.25">
      <c r="A79" s="374" t="s">
        <v>916</v>
      </c>
      <c r="B79" s="410" t="s">
        <v>766</v>
      </c>
      <c r="C79" s="52" t="s">
        <v>886</v>
      </c>
      <c r="D79" s="52" t="s">
        <v>401</v>
      </c>
      <c r="E79" s="422" t="s">
        <v>892</v>
      </c>
      <c r="F79" s="57"/>
      <c r="G79" s="52" t="s">
        <v>623</v>
      </c>
      <c r="H79" s="330">
        <v>44621</v>
      </c>
      <c r="I79" s="422" t="s">
        <v>830</v>
      </c>
      <c r="J79" s="422"/>
      <c r="K79" s="330">
        <v>44616</v>
      </c>
      <c r="L79" s="52">
        <v>44601</v>
      </c>
      <c r="M79" s="330">
        <v>44593</v>
      </c>
      <c r="N79" s="52">
        <v>44646</v>
      </c>
      <c r="O79" s="502">
        <v>44631</v>
      </c>
      <c r="P79" s="333">
        <f t="shared" si="25"/>
        <v>15</v>
      </c>
      <c r="Q79" s="50">
        <f t="shared" si="29"/>
        <v>45</v>
      </c>
      <c r="R79" s="333">
        <f t="shared" si="29"/>
        <v>38</v>
      </c>
      <c r="S79" s="52" t="s">
        <v>370</v>
      </c>
      <c r="T79" s="376">
        <f t="shared" si="31"/>
        <v>44651</v>
      </c>
      <c r="U79" s="52">
        <f>T79+(9*4.3*7)</f>
        <v>44921.9</v>
      </c>
      <c r="V79" s="50">
        <v>9.0000000000000497</v>
      </c>
      <c r="W79" s="50">
        <f t="shared" si="32"/>
        <v>9.0000000000000497</v>
      </c>
      <c r="X79" s="50"/>
      <c r="Y79" s="50"/>
      <c r="Z79" s="50"/>
      <c r="AA79" s="53">
        <v>1200000</v>
      </c>
      <c r="AB79" s="211">
        <v>0</v>
      </c>
      <c r="AC79" s="115">
        <v>0</v>
      </c>
      <c r="AD79" s="115">
        <v>129788.5</v>
      </c>
      <c r="AE79" s="275">
        <v>200000</v>
      </c>
      <c r="AF79" s="275">
        <v>200000</v>
      </c>
      <c r="AG79" s="275">
        <v>200000</v>
      </c>
      <c r="AH79" s="275">
        <v>200000</v>
      </c>
      <c r="AI79" s="275">
        <v>200000</v>
      </c>
      <c r="AJ79" s="275">
        <v>200000</v>
      </c>
      <c r="AK79" s="58"/>
      <c r="AL79" s="58"/>
      <c r="AM79" s="58"/>
      <c r="AN79" s="58"/>
      <c r="AO79" s="53"/>
      <c r="AP79" s="47"/>
      <c r="AQ79" s="53">
        <f t="shared" si="33"/>
        <v>1329788.5</v>
      </c>
      <c r="AR79" s="51"/>
      <c r="AS79" s="357">
        <f t="shared" si="10"/>
        <v>129788.5</v>
      </c>
      <c r="AU79" s="55"/>
    </row>
    <row r="80" spans="1:47" s="36" customFormat="1" ht="15.75" x14ac:dyDescent="0.25">
      <c r="A80" s="374" t="s">
        <v>919</v>
      </c>
      <c r="B80" s="374" t="s">
        <v>935</v>
      </c>
      <c r="C80" s="394" t="s">
        <v>886</v>
      </c>
      <c r="D80" s="503" t="s">
        <v>401</v>
      </c>
      <c r="E80" s="394" t="s">
        <v>892</v>
      </c>
      <c r="F80" s="407"/>
      <c r="G80" s="52" t="s">
        <v>623</v>
      </c>
      <c r="H80" s="52" t="s">
        <v>45</v>
      </c>
      <c r="I80" s="394" t="s">
        <v>830</v>
      </c>
      <c r="J80" s="394"/>
      <c r="K80" s="330">
        <v>44616</v>
      </c>
      <c r="L80" s="52">
        <v>44601</v>
      </c>
      <c r="M80" s="52">
        <v>44743</v>
      </c>
      <c r="N80" s="52">
        <v>44646</v>
      </c>
      <c r="O80" s="52">
        <f>M80+45</f>
        <v>44788</v>
      </c>
      <c r="P80" s="50">
        <f>O80-K80</f>
        <v>172</v>
      </c>
      <c r="Q80" s="50">
        <f>N80-L80</f>
        <v>45</v>
      </c>
      <c r="R80" s="50">
        <f>O80-M80</f>
        <v>45</v>
      </c>
      <c r="S80" s="52" t="s">
        <v>320</v>
      </c>
      <c r="T80" s="376">
        <f>O80+30</f>
        <v>44818</v>
      </c>
      <c r="U80" s="52">
        <f>T80+(4*4.3*7)</f>
        <v>44938.400000000001</v>
      </c>
      <c r="V80" s="50">
        <v>4</v>
      </c>
      <c r="W80" s="50">
        <f>((U80-T80)/7)/4.3</f>
        <v>4.0000000000000488</v>
      </c>
      <c r="X80" s="50"/>
      <c r="Y80" s="50"/>
      <c r="Z80" s="50"/>
      <c r="AA80" s="53"/>
      <c r="AB80" s="211">
        <v>0</v>
      </c>
      <c r="AC80" s="115">
        <v>0</v>
      </c>
      <c r="AD80" s="115">
        <v>0</v>
      </c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3"/>
      <c r="AP80" s="47"/>
      <c r="AQ80" s="53">
        <f>SUM(AB80:AP80)</f>
        <v>0</v>
      </c>
      <c r="AR80" s="51"/>
      <c r="AS80" s="357">
        <f>AQ80-AA80</f>
        <v>0</v>
      </c>
    </row>
    <row r="81" spans="1:47" s="36" customFormat="1" ht="15.75" x14ac:dyDescent="0.25">
      <c r="A81" s="374" t="s">
        <v>917</v>
      </c>
      <c r="B81" s="375" t="s">
        <v>914</v>
      </c>
      <c r="C81" s="52" t="s">
        <v>886</v>
      </c>
      <c r="D81" s="52" t="s">
        <v>401</v>
      </c>
      <c r="E81" s="52" t="s">
        <v>892</v>
      </c>
      <c r="F81" s="56"/>
      <c r="G81" s="52" t="s">
        <v>912</v>
      </c>
      <c r="H81" s="330">
        <v>44621</v>
      </c>
      <c r="I81" s="52" t="s">
        <v>830</v>
      </c>
      <c r="J81" s="52"/>
      <c r="K81" s="330">
        <v>44616</v>
      </c>
      <c r="L81" s="52">
        <v>44601</v>
      </c>
      <c r="M81" s="52">
        <v>44743</v>
      </c>
      <c r="N81" s="52">
        <v>44646</v>
      </c>
      <c r="O81" s="52">
        <f>M81+45</f>
        <v>44788</v>
      </c>
      <c r="P81" s="50">
        <f t="shared" si="25"/>
        <v>172</v>
      </c>
      <c r="Q81" s="50">
        <f t="shared" si="29"/>
        <v>45</v>
      </c>
      <c r="R81" s="50">
        <f t="shared" si="29"/>
        <v>45</v>
      </c>
      <c r="S81" s="52" t="s">
        <v>320</v>
      </c>
      <c r="T81" s="376">
        <f>O81+30</f>
        <v>44818</v>
      </c>
      <c r="U81" s="276">
        <f>T81+(4*4.3*7)</f>
        <v>44938.400000000001</v>
      </c>
      <c r="V81" s="50">
        <v>4</v>
      </c>
      <c r="W81" s="50">
        <f t="shared" si="32"/>
        <v>4.0000000000000488</v>
      </c>
      <c r="X81" s="50"/>
      <c r="Y81" s="50"/>
      <c r="Z81" s="50"/>
      <c r="AA81" s="53">
        <v>300000</v>
      </c>
      <c r="AB81" s="211">
        <v>0</v>
      </c>
      <c r="AC81" s="115">
        <v>0</v>
      </c>
      <c r="AD81" s="115">
        <v>0</v>
      </c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3">
        <v>300000</v>
      </c>
      <c r="AP81" s="47"/>
      <c r="AQ81" s="53">
        <f t="shared" si="33"/>
        <v>300000</v>
      </c>
      <c r="AR81" s="51"/>
      <c r="AS81" s="357">
        <f t="shared" ref="AS81:AS103" si="34">AQ81-AA81</f>
        <v>0</v>
      </c>
    </row>
    <row r="82" spans="1:47" s="36" customFormat="1" ht="15.75" x14ac:dyDescent="0.25">
      <c r="A82" s="374" t="s">
        <v>918</v>
      </c>
      <c r="B82" s="374" t="s">
        <v>915</v>
      </c>
      <c r="C82" s="394" t="s">
        <v>886</v>
      </c>
      <c r="D82" s="394" t="s">
        <v>401</v>
      </c>
      <c r="E82" s="394" t="s">
        <v>892</v>
      </c>
      <c r="F82" s="407"/>
      <c r="G82" s="52" t="s">
        <v>623</v>
      </c>
      <c r="H82" s="52" t="s">
        <v>45</v>
      </c>
      <c r="I82" s="394" t="s">
        <v>830</v>
      </c>
      <c r="J82" s="394"/>
      <c r="K82" s="330">
        <v>44616</v>
      </c>
      <c r="L82" s="52">
        <v>44601</v>
      </c>
      <c r="M82" s="52">
        <v>44743</v>
      </c>
      <c r="N82" s="52">
        <v>44646</v>
      </c>
      <c r="O82" s="52">
        <f>M82+45</f>
        <v>44788</v>
      </c>
      <c r="P82" s="50">
        <f t="shared" si="25"/>
        <v>172</v>
      </c>
      <c r="Q82" s="50">
        <f t="shared" si="29"/>
        <v>45</v>
      </c>
      <c r="R82" s="50">
        <f t="shared" si="29"/>
        <v>45</v>
      </c>
      <c r="S82" s="52" t="s">
        <v>320</v>
      </c>
      <c r="T82" s="376">
        <f>O82+30</f>
        <v>44818</v>
      </c>
      <c r="U82" s="276">
        <f>T82+(4*4.3*7)</f>
        <v>44938.400000000001</v>
      </c>
      <c r="V82" s="50">
        <v>4</v>
      </c>
      <c r="W82" s="50">
        <f t="shared" si="32"/>
        <v>4.0000000000000488</v>
      </c>
      <c r="X82" s="50"/>
      <c r="Y82" s="50"/>
      <c r="Z82" s="50"/>
      <c r="AA82" s="53"/>
      <c r="AB82" s="211">
        <v>0</v>
      </c>
      <c r="AC82" s="115">
        <v>0</v>
      </c>
      <c r="AD82" s="115">
        <v>0</v>
      </c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3"/>
      <c r="AP82" s="47"/>
      <c r="AQ82" s="53">
        <f t="shared" si="33"/>
        <v>0</v>
      </c>
      <c r="AR82" s="51"/>
      <c r="AS82" s="357">
        <f t="shared" si="34"/>
        <v>0</v>
      </c>
    </row>
    <row r="83" spans="1:47" s="36" customFormat="1" ht="15.75" x14ac:dyDescent="0.25">
      <c r="A83" s="62" t="s">
        <v>871</v>
      </c>
      <c r="B83" s="63" t="s">
        <v>872</v>
      </c>
      <c r="C83" s="394" t="s">
        <v>875</v>
      </c>
      <c r="D83" s="394" t="s">
        <v>24</v>
      </c>
      <c r="E83" s="469" t="s">
        <v>24</v>
      </c>
      <c r="F83" s="63"/>
      <c r="G83" s="52" t="s">
        <v>623</v>
      </c>
      <c r="H83" s="52" t="s">
        <v>320</v>
      </c>
      <c r="I83" s="52"/>
      <c r="J83" s="52"/>
      <c r="K83" s="330"/>
      <c r="L83" s="52"/>
      <c r="M83" s="330"/>
      <c r="N83" s="52"/>
      <c r="O83" s="330"/>
      <c r="P83" s="50">
        <f t="shared" si="25"/>
        <v>0</v>
      </c>
      <c r="Q83" s="50"/>
      <c r="R83" s="333"/>
      <c r="S83" s="52"/>
      <c r="T83" s="330"/>
      <c r="U83" s="52"/>
      <c r="V83" s="50"/>
      <c r="W83" s="50"/>
      <c r="X83" s="50"/>
      <c r="Y83" s="50"/>
      <c r="Z83" s="50"/>
      <c r="AA83" s="181"/>
      <c r="AB83" s="211">
        <v>0</v>
      </c>
      <c r="AC83" s="115">
        <v>0</v>
      </c>
      <c r="AD83" s="115">
        <v>0</v>
      </c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47"/>
      <c r="AQ83" s="58"/>
      <c r="AR83" s="51"/>
      <c r="AS83" s="357">
        <f t="shared" si="34"/>
        <v>0</v>
      </c>
      <c r="AU83" s="55"/>
    </row>
    <row r="84" spans="1:47" s="36" customFormat="1" ht="15.75" x14ac:dyDescent="0.25">
      <c r="A84" s="484" t="s">
        <v>475</v>
      </c>
      <c r="B84" s="63" t="s">
        <v>793</v>
      </c>
      <c r="C84" s="52" t="s">
        <v>874</v>
      </c>
      <c r="D84" s="394" t="s">
        <v>873</v>
      </c>
      <c r="E84" s="469" t="s">
        <v>892</v>
      </c>
      <c r="F84" s="63" t="s">
        <v>864</v>
      </c>
      <c r="G84" s="52" t="s">
        <v>623</v>
      </c>
      <c r="H84" s="52" t="s">
        <v>320</v>
      </c>
      <c r="I84" s="52" t="s">
        <v>831</v>
      </c>
      <c r="J84" s="426"/>
      <c r="K84" s="52" t="s">
        <v>320</v>
      </c>
      <c r="L84" s="52">
        <v>44682</v>
      </c>
      <c r="M84" s="52">
        <v>44682</v>
      </c>
      <c r="N84" s="52">
        <v>44742</v>
      </c>
      <c r="O84" s="52">
        <f>M84+60</f>
        <v>44742</v>
      </c>
      <c r="P84" s="50" t="e">
        <f t="shared" si="25"/>
        <v>#VALUE!</v>
      </c>
      <c r="Q84" s="50">
        <f t="shared" ref="Q84:R97" si="35">N84-L84</f>
        <v>60</v>
      </c>
      <c r="R84" s="50">
        <f t="shared" si="35"/>
        <v>60</v>
      </c>
      <c r="S84" s="52" t="s">
        <v>320</v>
      </c>
      <c r="T84" s="52">
        <f>O84+30</f>
        <v>44772</v>
      </c>
      <c r="U84" s="52">
        <f>T84+(12*4.3*7)</f>
        <v>45133.2</v>
      </c>
      <c r="V84" s="50">
        <v>11.999999999999904</v>
      </c>
      <c r="W84" s="50">
        <f>((U84-T84)/7)/4.3</f>
        <v>11.999999999999904</v>
      </c>
      <c r="X84" s="50"/>
      <c r="Y84" s="50"/>
      <c r="Z84" s="50"/>
      <c r="AA84" s="58">
        <v>14000000</v>
      </c>
      <c r="AB84" s="211">
        <v>0</v>
      </c>
      <c r="AC84" s="115">
        <v>0</v>
      </c>
      <c r="AD84" s="115">
        <v>0</v>
      </c>
      <c r="AE84" s="58"/>
      <c r="AF84" s="58"/>
      <c r="AG84" s="58"/>
      <c r="AH84" s="58"/>
      <c r="AI84" s="58"/>
      <c r="AJ84" s="58"/>
      <c r="AK84" s="275">
        <v>1250000</v>
      </c>
      <c r="AL84" s="275">
        <v>1250000</v>
      </c>
      <c r="AM84" s="275">
        <v>1250000</v>
      </c>
      <c r="AN84" s="275">
        <v>1250000</v>
      </c>
      <c r="AO84" s="275">
        <f>3200000+5800000</f>
        <v>9000000</v>
      </c>
      <c r="AP84" s="47"/>
      <c r="AQ84" s="53">
        <f t="shared" ref="AQ84:AQ104" si="36">SUM(AB84:AP84)</f>
        <v>14000000</v>
      </c>
      <c r="AR84" s="51"/>
      <c r="AS84" s="357">
        <f t="shared" si="34"/>
        <v>0</v>
      </c>
      <c r="AU84" s="55"/>
    </row>
    <row r="85" spans="1:47" s="36" customFormat="1" ht="15.75" x14ac:dyDescent="0.25">
      <c r="A85" s="185" t="s">
        <v>800</v>
      </c>
      <c r="B85" s="34" t="s">
        <v>797</v>
      </c>
      <c r="C85" s="394" t="s">
        <v>45</v>
      </c>
      <c r="D85" s="394" t="s">
        <v>45</v>
      </c>
      <c r="E85" s="422" t="s">
        <v>890</v>
      </c>
      <c r="F85" s="56"/>
      <c r="G85" s="52" t="s">
        <v>623</v>
      </c>
      <c r="H85" s="52" t="s">
        <v>320</v>
      </c>
      <c r="I85" s="52" t="s">
        <v>817</v>
      </c>
      <c r="J85" s="426"/>
      <c r="K85" s="330">
        <v>44566</v>
      </c>
      <c r="L85" s="52"/>
      <c r="M85" s="52"/>
      <c r="N85" s="52"/>
      <c r="O85" s="52"/>
      <c r="P85" s="50">
        <f t="shared" si="25"/>
        <v>-44566</v>
      </c>
      <c r="Q85" s="50">
        <f t="shared" si="35"/>
        <v>0</v>
      </c>
      <c r="R85" s="50">
        <f t="shared" si="35"/>
        <v>0</v>
      </c>
      <c r="S85" s="52" t="s">
        <v>320</v>
      </c>
      <c r="T85" s="52"/>
      <c r="U85" s="52"/>
      <c r="V85" s="50"/>
      <c r="W85" s="68"/>
      <c r="X85" s="50"/>
      <c r="Y85" s="50"/>
      <c r="Z85" s="50"/>
      <c r="AA85" s="53"/>
      <c r="AB85" s="211">
        <v>0</v>
      </c>
      <c r="AC85" s="115">
        <v>0</v>
      </c>
      <c r="AD85" s="115">
        <v>0</v>
      </c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3"/>
      <c r="AP85" s="47"/>
      <c r="AQ85" s="53">
        <f t="shared" si="36"/>
        <v>0</v>
      </c>
      <c r="AR85" s="51"/>
      <c r="AS85" s="357">
        <f t="shared" si="34"/>
        <v>0</v>
      </c>
    </row>
    <row r="86" spans="1:47" s="36" customFormat="1" ht="15.75" x14ac:dyDescent="0.25">
      <c r="A86" s="185" t="s">
        <v>800</v>
      </c>
      <c r="B86" s="34" t="s">
        <v>798</v>
      </c>
      <c r="C86" s="52" t="s">
        <v>45</v>
      </c>
      <c r="D86" s="52" t="s">
        <v>45</v>
      </c>
      <c r="E86" s="422" t="s">
        <v>890</v>
      </c>
      <c r="F86" s="56" t="s">
        <v>864</v>
      </c>
      <c r="G86" s="52" t="s">
        <v>623</v>
      </c>
      <c r="H86" s="52" t="s">
        <v>320</v>
      </c>
      <c r="I86" s="52" t="s">
        <v>813</v>
      </c>
      <c r="J86" s="423"/>
      <c r="K86" s="330">
        <v>44551</v>
      </c>
      <c r="L86" s="52"/>
      <c r="M86" s="52"/>
      <c r="N86" s="52"/>
      <c r="O86" s="52"/>
      <c r="P86" s="50">
        <f t="shared" si="25"/>
        <v>-44551</v>
      </c>
      <c r="Q86" s="50">
        <f t="shared" si="35"/>
        <v>0</v>
      </c>
      <c r="R86" s="50">
        <f t="shared" si="35"/>
        <v>0</v>
      </c>
      <c r="S86" s="52" t="s">
        <v>320</v>
      </c>
      <c r="T86" s="52"/>
      <c r="U86" s="52"/>
      <c r="V86" s="50"/>
      <c r="W86" s="68"/>
      <c r="X86" s="50"/>
      <c r="Y86" s="50"/>
      <c r="Z86" s="50"/>
      <c r="AA86" s="53"/>
      <c r="AB86" s="211">
        <v>0</v>
      </c>
      <c r="AC86" s="115">
        <v>0</v>
      </c>
      <c r="AD86" s="115">
        <v>0</v>
      </c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3"/>
      <c r="AP86" s="47"/>
      <c r="AQ86" s="53">
        <f t="shared" si="36"/>
        <v>0</v>
      </c>
      <c r="AR86" s="51"/>
      <c r="AS86" s="357">
        <f t="shared" si="34"/>
        <v>0</v>
      </c>
    </row>
    <row r="87" spans="1:47" s="36" customFormat="1" ht="15.75" x14ac:dyDescent="0.25">
      <c r="A87" s="34" t="s">
        <v>143</v>
      </c>
      <c r="B87" s="35" t="s">
        <v>145</v>
      </c>
      <c r="C87" s="52" t="s">
        <v>708</v>
      </c>
      <c r="D87" s="52" t="s">
        <v>704</v>
      </c>
      <c r="E87" s="422" t="s">
        <v>892</v>
      </c>
      <c r="F87" s="57" t="s">
        <v>146</v>
      </c>
      <c r="G87" s="52" t="s">
        <v>623</v>
      </c>
      <c r="H87" s="52" t="s">
        <v>320</v>
      </c>
      <c r="I87" s="423" t="s">
        <v>835</v>
      </c>
      <c r="J87" s="423"/>
      <c r="K87" s="52" t="s">
        <v>24</v>
      </c>
      <c r="L87" s="52">
        <v>44470</v>
      </c>
      <c r="M87" s="52">
        <v>44470</v>
      </c>
      <c r="N87" s="52">
        <v>44575</v>
      </c>
      <c r="O87" s="52">
        <v>44575</v>
      </c>
      <c r="P87" s="50" t="e">
        <f t="shared" si="25"/>
        <v>#VALUE!</v>
      </c>
      <c r="Q87" s="50">
        <f t="shared" si="35"/>
        <v>105</v>
      </c>
      <c r="R87" s="50">
        <f t="shared" si="35"/>
        <v>105</v>
      </c>
      <c r="S87" s="52" t="s">
        <v>320</v>
      </c>
      <c r="T87" s="52">
        <v>44666</v>
      </c>
      <c r="U87" s="52">
        <f>T87+(9*4.3*7)</f>
        <v>44936.9</v>
      </c>
      <c r="V87" s="50">
        <v>9.0000000000000497</v>
      </c>
      <c r="W87" s="50">
        <f t="shared" ref="W87:W95" si="37">((U87-T87)/7)/4.3</f>
        <v>9.0000000000000497</v>
      </c>
      <c r="X87" s="50"/>
      <c r="Y87" s="50"/>
      <c r="Z87" s="50"/>
      <c r="AA87" s="58">
        <v>600000</v>
      </c>
      <c r="AB87" s="211">
        <v>0</v>
      </c>
      <c r="AC87" s="115">
        <v>0</v>
      </c>
      <c r="AD87" s="115">
        <v>0</v>
      </c>
      <c r="AE87" s="58"/>
      <c r="AF87" s="275">
        <v>80000</v>
      </c>
      <c r="AG87" s="275">
        <v>80000</v>
      </c>
      <c r="AH87" s="275">
        <v>80000</v>
      </c>
      <c r="AI87" s="275">
        <v>80000</v>
      </c>
      <c r="AJ87" s="275">
        <v>80000</v>
      </c>
      <c r="AK87" s="275">
        <v>80000</v>
      </c>
      <c r="AL87" s="275">
        <f>45000+75000</f>
        <v>120000</v>
      </c>
      <c r="AM87" s="58"/>
      <c r="AN87" s="58"/>
      <c r="AO87" s="53"/>
      <c r="AP87" s="47"/>
      <c r="AQ87" s="53">
        <f t="shared" si="36"/>
        <v>600000</v>
      </c>
      <c r="AR87" s="51"/>
      <c r="AS87" s="357">
        <f t="shared" si="34"/>
        <v>0</v>
      </c>
    </row>
    <row r="88" spans="1:47" s="36" customFormat="1" ht="15.75" x14ac:dyDescent="0.25">
      <c r="A88" s="34" t="s">
        <v>394</v>
      </c>
      <c r="B88" s="35" t="s">
        <v>763</v>
      </c>
      <c r="C88" s="52" t="s">
        <v>708</v>
      </c>
      <c r="D88" s="52" t="s">
        <v>704</v>
      </c>
      <c r="E88" s="422" t="s">
        <v>892</v>
      </c>
      <c r="F88" s="57" t="s">
        <v>149</v>
      </c>
      <c r="G88" s="52" t="s">
        <v>623</v>
      </c>
      <c r="H88" s="52" t="s">
        <v>320</v>
      </c>
      <c r="I88" s="52" t="s">
        <v>836</v>
      </c>
      <c r="J88" s="52"/>
      <c r="K88" s="330" t="s">
        <v>370</v>
      </c>
      <c r="L88" s="52">
        <v>44491</v>
      </c>
      <c r="M88" s="52">
        <v>44643</v>
      </c>
      <c r="N88" s="52">
        <v>44703</v>
      </c>
      <c r="O88" s="52">
        <f>M88+60</f>
        <v>44703</v>
      </c>
      <c r="P88" s="50" t="e">
        <f t="shared" si="25"/>
        <v>#VALUE!</v>
      </c>
      <c r="Q88" s="50">
        <f>N88-M88</f>
        <v>60</v>
      </c>
      <c r="R88" s="50">
        <f t="shared" si="35"/>
        <v>60</v>
      </c>
      <c r="S88" s="52" t="s">
        <v>320</v>
      </c>
      <c r="T88" s="52">
        <v>44666</v>
      </c>
      <c r="U88" s="52">
        <f>T88+(9*4.3*7)</f>
        <v>44936.9</v>
      </c>
      <c r="V88" s="50">
        <v>9.0000000000000497</v>
      </c>
      <c r="W88" s="50">
        <f t="shared" si="37"/>
        <v>9.0000000000000497</v>
      </c>
      <c r="X88" s="50"/>
      <c r="Y88" s="50"/>
      <c r="Z88" s="50"/>
      <c r="AA88" s="53">
        <v>750000</v>
      </c>
      <c r="AB88" s="211">
        <v>0</v>
      </c>
      <c r="AC88" s="115">
        <v>0</v>
      </c>
      <c r="AD88" s="115">
        <v>0</v>
      </c>
      <c r="AE88" s="58"/>
      <c r="AF88" s="275">
        <v>90000</v>
      </c>
      <c r="AG88" s="275">
        <v>90000</v>
      </c>
      <c r="AH88" s="275">
        <v>90000</v>
      </c>
      <c r="AI88" s="275">
        <v>90000</v>
      </c>
      <c r="AJ88" s="275">
        <v>90000</v>
      </c>
      <c r="AK88" s="275">
        <v>90000</v>
      </c>
      <c r="AL88" s="275">
        <v>65000</v>
      </c>
      <c r="AM88" s="275">
        <f>50000+95000</f>
        <v>145000</v>
      </c>
      <c r="AN88" s="58"/>
      <c r="AO88" s="53"/>
      <c r="AP88" s="47"/>
      <c r="AQ88" s="53">
        <f t="shared" si="36"/>
        <v>750000</v>
      </c>
      <c r="AR88" s="51"/>
      <c r="AS88" s="357">
        <f t="shared" si="34"/>
        <v>0</v>
      </c>
      <c r="AU88" s="55"/>
    </row>
    <row r="89" spans="1:47" s="36" customFormat="1" ht="15.75" x14ac:dyDescent="0.25">
      <c r="A89" s="34" t="s">
        <v>735</v>
      </c>
      <c r="B89" s="35" t="s">
        <v>736</v>
      </c>
      <c r="C89" s="52" t="s">
        <v>708</v>
      </c>
      <c r="D89" s="52" t="s">
        <v>704</v>
      </c>
      <c r="E89" s="422" t="s">
        <v>892</v>
      </c>
      <c r="F89" s="57" t="s">
        <v>149</v>
      </c>
      <c r="G89" s="52" t="s">
        <v>623</v>
      </c>
      <c r="H89" s="52" t="s">
        <v>320</v>
      </c>
      <c r="I89" s="422" t="s">
        <v>835</v>
      </c>
      <c r="J89" s="422"/>
      <c r="K89" s="330" t="s">
        <v>370</v>
      </c>
      <c r="L89" s="52">
        <v>44596</v>
      </c>
      <c r="M89" s="52">
        <v>44643</v>
      </c>
      <c r="N89" s="52">
        <v>44703</v>
      </c>
      <c r="O89" s="52">
        <f>M89+60</f>
        <v>44703</v>
      </c>
      <c r="P89" s="50" t="e">
        <f t="shared" si="25"/>
        <v>#VALUE!</v>
      </c>
      <c r="Q89" s="50">
        <f>N89-M89</f>
        <v>60</v>
      </c>
      <c r="R89" s="50">
        <f t="shared" si="35"/>
        <v>60</v>
      </c>
      <c r="S89" s="52" t="s">
        <v>320</v>
      </c>
      <c r="T89" s="52">
        <v>44666</v>
      </c>
      <c r="U89" s="52">
        <f>T89+(6*4.3*7)</f>
        <v>44846.6</v>
      </c>
      <c r="V89" s="50">
        <v>5.999999999999952</v>
      </c>
      <c r="W89" s="50">
        <f t="shared" si="37"/>
        <v>5.999999999999952</v>
      </c>
      <c r="X89" s="50"/>
      <c r="Y89" s="50"/>
      <c r="Z89" s="50"/>
      <c r="AA89" s="53">
        <v>600000</v>
      </c>
      <c r="AB89" s="211">
        <v>0</v>
      </c>
      <c r="AC89" s="115">
        <v>0</v>
      </c>
      <c r="AD89" s="115">
        <v>0</v>
      </c>
      <c r="AE89" s="58"/>
      <c r="AF89" s="58"/>
      <c r="AG89" s="58"/>
      <c r="AH89" s="275">
        <v>25000</v>
      </c>
      <c r="AI89" s="275">
        <v>50000</v>
      </c>
      <c r="AJ89" s="275">
        <v>80000</v>
      </c>
      <c r="AK89" s="275">
        <v>80000</v>
      </c>
      <c r="AL89" s="275">
        <v>80000</v>
      </c>
      <c r="AM89" s="275">
        <v>80000</v>
      </c>
      <c r="AN89" s="275">
        <v>80000</v>
      </c>
      <c r="AO89" s="275">
        <v>125000</v>
      </c>
      <c r="AP89" s="47"/>
      <c r="AQ89" s="53">
        <f t="shared" si="36"/>
        <v>600000</v>
      </c>
      <c r="AR89" s="51"/>
      <c r="AS89" s="357">
        <f t="shared" si="34"/>
        <v>0</v>
      </c>
      <c r="AU89" s="55"/>
    </row>
    <row r="90" spans="1:47" s="36" customFormat="1" ht="15.75" x14ac:dyDescent="0.25">
      <c r="A90" s="34" t="s">
        <v>737</v>
      </c>
      <c r="B90" s="35" t="s">
        <v>740</v>
      </c>
      <c r="C90" s="52" t="s">
        <v>708</v>
      </c>
      <c r="D90" s="52" t="s">
        <v>704</v>
      </c>
      <c r="E90" s="422" t="s">
        <v>892</v>
      </c>
      <c r="F90" s="57" t="s">
        <v>149</v>
      </c>
      <c r="G90" s="52" t="s">
        <v>623</v>
      </c>
      <c r="H90" s="52" t="s">
        <v>320</v>
      </c>
      <c r="I90" s="422" t="s">
        <v>835</v>
      </c>
      <c r="J90" s="422"/>
      <c r="K90" s="330" t="s">
        <v>370</v>
      </c>
      <c r="L90" s="52">
        <v>44596</v>
      </c>
      <c r="M90" s="52">
        <v>44682</v>
      </c>
      <c r="N90" s="52">
        <v>44686</v>
      </c>
      <c r="O90" s="52">
        <f>M90+45</f>
        <v>44727</v>
      </c>
      <c r="P90" s="50" t="e">
        <f t="shared" si="25"/>
        <v>#VALUE!</v>
      </c>
      <c r="Q90" s="50">
        <f t="shared" ref="Q90:Q97" si="38">N90-L90</f>
        <v>90</v>
      </c>
      <c r="R90" s="50">
        <f t="shared" si="35"/>
        <v>45</v>
      </c>
      <c r="S90" s="52" t="s">
        <v>320</v>
      </c>
      <c r="T90" s="52">
        <f>O90+30</f>
        <v>44757</v>
      </c>
      <c r="U90" s="52">
        <f>T90+(3*4.3*7)</f>
        <v>44847.3</v>
      </c>
      <c r="V90" s="50">
        <v>9.0000000000000497</v>
      </c>
      <c r="W90" s="50">
        <f t="shared" si="37"/>
        <v>3.0000000000000968</v>
      </c>
      <c r="X90" s="50"/>
      <c r="Y90" s="50"/>
      <c r="Z90" s="50"/>
      <c r="AA90" s="53"/>
      <c r="AB90" s="211">
        <v>0</v>
      </c>
      <c r="AC90" s="115">
        <v>0</v>
      </c>
      <c r="AD90" s="115">
        <v>0</v>
      </c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3"/>
      <c r="AP90" s="47"/>
      <c r="AQ90" s="53">
        <f t="shared" si="36"/>
        <v>0</v>
      </c>
      <c r="AR90" s="51"/>
      <c r="AS90" s="357">
        <f t="shared" si="34"/>
        <v>0</v>
      </c>
      <c r="AU90" s="55"/>
    </row>
    <row r="91" spans="1:47" s="36" customFormat="1" ht="15.75" x14ac:dyDescent="0.25">
      <c r="A91" s="34" t="s">
        <v>738</v>
      </c>
      <c r="B91" s="35" t="s">
        <v>740</v>
      </c>
      <c r="C91" s="52" t="s">
        <v>708</v>
      </c>
      <c r="D91" s="52" t="s">
        <v>704</v>
      </c>
      <c r="E91" s="422" t="s">
        <v>892</v>
      </c>
      <c r="F91" s="57" t="s">
        <v>149</v>
      </c>
      <c r="G91" s="52" t="s">
        <v>623</v>
      </c>
      <c r="H91" s="52" t="s">
        <v>320</v>
      </c>
      <c r="I91" s="422" t="s">
        <v>835</v>
      </c>
      <c r="J91" s="422"/>
      <c r="K91" s="330" t="s">
        <v>370</v>
      </c>
      <c r="L91" s="52">
        <v>44596</v>
      </c>
      <c r="M91" s="52">
        <v>44682</v>
      </c>
      <c r="N91" s="52">
        <v>44686</v>
      </c>
      <c r="O91" s="52">
        <f>M91+45</f>
        <v>44727</v>
      </c>
      <c r="P91" s="50" t="e">
        <f t="shared" si="25"/>
        <v>#VALUE!</v>
      </c>
      <c r="Q91" s="50">
        <f t="shared" si="38"/>
        <v>90</v>
      </c>
      <c r="R91" s="50">
        <f t="shared" si="35"/>
        <v>45</v>
      </c>
      <c r="S91" s="52" t="s">
        <v>320</v>
      </c>
      <c r="T91" s="52">
        <f>O91+30</f>
        <v>44757</v>
      </c>
      <c r="U91" s="52">
        <f>T91+(3*4.3*7)</f>
        <v>44847.3</v>
      </c>
      <c r="V91" s="50">
        <v>9.0000000000000497</v>
      </c>
      <c r="W91" s="50">
        <f t="shared" si="37"/>
        <v>3.0000000000000968</v>
      </c>
      <c r="X91" s="50"/>
      <c r="Y91" s="50"/>
      <c r="Z91" s="50"/>
      <c r="AA91" s="53"/>
      <c r="AB91" s="211">
        <v>0</v>
      </c>
      <c r="AC91" s="115">
        <v>0</v>
      </c>
      <c r="AD91" s="115">
        <v>0</v>
      </c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3"/>
      <c r="AP91" s="47"/>
      <c r="AQ91" s="53">
        <f t="shared" si="36"/>
        <v>0</v>
      </c>
      <c r="AR91" s="51"/>
      <c r="AS91" s="357">
        <f t="shared" si="34"/>
        <v>0</v>
      </c>
    </row>
    <row r="92" spans="1:47" s="36" customFormat="1" ht="15.75" x14ac:dyDescent="0.25">
      <c r="A92" s="374" t="s">
        <v>156</v>
      </c>
      <c r="B92" s="375" t="s">
        <v>157</v>
      </c>
      <c r="C92" s="52" t="s">
        <v>708</v>
      </c>
      <c r="D92" s="52" t="s">
        <v>704</v>
      </c>
      <c r="E92" s="422" t="s">
        <v>892</v>
      </c>
      <c r="F92" s="57" t="s">
        <v>158</v>
      </c>
      <c r="G92" s="52" t="s">
        <v>623</v>
      </c>
      <c r="H92" s="52">
        <v>44645</v>
      </c>
      <c r="I92" s="52" t="s">
        <v>837</v>
      </c>
      <c r="J92" s="52"/>
      <c r="K92" s="330" t="s">
        <v>370</v>
      </c>
      <c r="L92" s="52">
        <v>44497</v>
      </c>
      <c r="M92" s="330">
        <v>44362</v>
      </c>
      <c r="N92" s="52">
        <v>44547</v>
      </c>
      <c r="O92" s="276">
        <v>44635</v>
      </c>
      <c r="P92" s="50" t="e">
        <f t="shared" si="25"/>
        <v>#VALUE!</v>
      </c>
      <c r="Q92" s="50">
        <f t="shared" si="38"/>
        <v>50</v>
      </c>
      <c r="R92" s="50">
        <f t="shared" si="35"/>
        <v>273</v>
      </c>
      <c r="S92" s="52" t="s">
        <v>320</v>
      </c>
      <c r="T92" s="376">
        <f>O92+14</f>
        <v>44649</v>
      </c>
      <c r="U92" s="52">
        <f>T92+(9*4.3*7)</f>
        <v>44919.9</v>
      </c>
      <c r="V92" s="50">
        <v>9.0000000000000497</v>
      </c>
      <c r="W92" s="50">
        <f t="shared" si="37"/>
        <v>9.0000000000000497</v>
      </c>
      <c r="X92" s="50"/>
      <c r="Y92" s="50"/>
      <c r="Z92" s="50"/>
      <c r="AA92" s="53">
        <v>2000000</v>
      </c>
      <c r="AB92" s="211">
        <v>0</v>
      </c>
      <c r="AC92" s="115">
        <v>0</v>
      </c>
      <c r="AD92" s="115">
        <v>210901.5</v>
      </c>
      <c r="AE92" s="275">
        <v>250000</v>
      </c>
      <c r="AF92" s="275">
        <v>25000</v>
      </c>
      <c r="AG92" s="275">
        <v>250000</v>
      </c>
      <c r="AH92" s="275">
        <v>300000</v>
      </c>
      <c r="AI92" s="275">
        <v>300000</v>
      </c>
      <c r="AJ92" s="275">
        <v>150000</v>
      </c>
      <c r="AK92" s="58"/>
      <c r="AL92" s="58"/>
      <c r="AM92" s="58"/>
      <c r="AN92" s="275">
        <v>725000</v>
      </c>
      <c r="AO92" s="53"/>
      <c r="AP92" s="47"/>
      <c r="AQ92" s="53">
        <f t="shared" si="36"/>
        <v>2210901.5</v>
      </c>
      <c r="AR92" s="51"/>
      <c r="AS92" s="357">
        <f t="shared" si="34"/>
        <v>210901.5</v>
      </c>
    </row>
    <row r="93" spans="1:47" s="36" customFormat="1" ht="15.75" x14ac:dyDescent="0.25">
      <c r="A93" s="374" t="s">
        <v>159</v>
      </c>
      <c r="B93" s="375" t="s">
        <v>428</v>
      </c>
      <c r="C93" s="52" t="s">
        <v>708</v>
      </c>
      <c r="D93" s="52" t="s">
        <v>704</v>
      </c>
      <c r="E93" s="422" t="s">
        <v>892</v>
      </c>
      <c r="F93" s="57" t="s">
        <v>158</v>
      </c>
      <c r="G93" s="52" t="s">
        <v>623</v>
      </c>
      <c r="H93" s="52">
        <v>44645</v>
      </c>
      <c r="I93" s="422" t="s">
        <v>837</v>
      </c>
      <c r="J93" s="422"/>
      <c r="K93" s="330" t="s">
        <v>370</v>
      </c>
      <c r="L93" s="52">
        <v>44526</v>
      </c>
      <c r="M93" s="52">
        <v>44636</v>
      </c>
      <c r="N93" s="52">
        <v>44616</v>
      </c>
      <c r="O93" s="52">
        <f>M93+60</f>
        <v>44696</v>
      </c>
      <c r="P93" s="50" t="e">
        <f t="shared" si="25"/>
        <v>#VALUE!</v>
      </c>
      <c r="Q93" s="50">
        <f t="shared" si="38"/>
        <v>90</v>
      </c>
      <c r="R93" s="50">
        <f t="shared" si="35"/>
        <v>60</v>
      </c>
      <c r="S93" s="52" t="s">
        <v>320</v>
      </c>
      <c r="T93" s="376">
        <f>O93+104</f>
        <v>44800</v>
      </c>
      <c r="U93" s="52">
        <f>T93+(4*4.3*7)</f>
        <v>44920.4</v>
      </c>
      <c r="V93" s="50">
        <v>4.0000000000000488</v>
      </c>
      <c r="W93" s="50">
        <f t="shared" si="37"/>
        <v>4.0000000000000488</v>
      </c>
      <c r="X93" s="50"/>
      <c r="Y93" s="50"/>
      <c r="Z93" s="50"/>
      <c r="AA93" s="53">
        <v>550000</v>
      </c>
      <c r="AB93" s="211">
        <v>0</v>
      </c>
      <c r="AC93" s="115">
        <v>0</v>
      </c>
      <c r="AD93" s="115">
        <v>43599.5</v>
      </c>
      <c r="AE93" s="275">
        <v>50000</v>
      </c>
      <c r="AF93" s="275">
        <v>100000</v>
      </c>
      <c r="AG93" s="275">
        <v>150000</v>
      </c>
      <c r="AH93" s="275">
        <v>150000</v>
      </c>
      <c r="AI93" s="275">
        <v>100000</v>
      </c>
      <c r="AJ93" s="58"/>
      <c r="AK93" s="58"/>
      <c r="AL93" s="58"/>
      <c r="AM93" s="58"/>
      <c r="AN93" s="58"/>
      <c r="AO93" s="53"/>
      <c r="AP93" s="47"/>
      <c r="AQ93" s="53">
        <f t="shared" si="36"/>
        <v>593599.5</v>
      </c>
      <c r="AR93" s="51"/>
      <c r="AS93" s="357">
        <f t="shared" si="34"/>
        <v>43599.5</v>
      </c>
      <c r="AU93" s="55"/>
    </row>
    <row r="94" spans="1:47" s="36" customFormat="1" ht="15.75" x14ac:dyDescent="0.25">
      <c r="A94" s="374" t="s">
        <v>228</v>
      </c>
      <c r="B94" s="375" t="s">
        <v>579</v>
      </c>
      <c r="C94" s="52" t="s">
        <v>45</v>
      </c>
      <c r="D94" s="52" t="s">
        <v>45</v>
      </c>
      <c r="E94" s="52" t="s">
        <v>893</v>
      </c>
      <c r="F94" s="56" t="s">
        <v>230</v>
      </c>
      <c r="G94" s="52" t="s">
        <v>623</v>
      </c>
      <c r="H94" s="52" t="s">
        <v>320</v>
      </c>
      <c r="I94" s="52" t="s">
        <v>838</v>
      </c>
      <c r="J94" s="52"/>
      <c r="K94" s="330" t="s">
        <v>370</v>
      </c>
      <c r="L94" s="52">
        <v>44610</v>
      </c>
      <c r="M94" s="330">
        <v>44610</v>
      </c>
      <c r="N94" s="52">
        <v>44620</v>
      </c>
      <c r="O94" s="52">
        <f>M94+90</f>
        <v>44700</v>
      </c>
      <c r="P94" s="50" t="e">
        <f t="shared" si="25"/>
        <v>#VALUE!</v>
      </c>
      <c r="Q94" s="50">
        <f t="shared" si="38"/>
        <v>10</v>
      </c>
      <c r="R94" s="50">
        <f t="shared" si="35"/>
        <v>90</v>
      </c>
      <c r="S94" s="52" t="s">
        <v>320</v>
      </c>
      <c r="T94" s="376">
        <f>O94+30</f>
        <v>44730</v>
      </c>
      <c r="U94" s="52">
        <f>T94+(9*4.3*7)</f>
        <v>45000.9</v>
      </c>
      <c r="V94" s="50">
        <v>9.0000000000000497</v>
      </c>
      <c r="W94" s="50">
        <f t="shared" si="37"/>
        <v>9.0000000000000497</v>
      </c>
      <c r="X94" s="50"/>
      <c r="Y94" s="52"/>
      <c r="Z94" s="52"/>
      <c r="AA94" s="53">
        <v>2229000</v>
      </c>
      <c r="AB94" s="211">
        <v>0</v>
      </c>
      <c r="AC94" s="115">
        <v>0</v>
      </c>
      <c r="AD94" s="115">
        <v>201811</v>
      </c>
      <c r="AE94" s="275">
        <v>125000</v>
      </c>
      <c r="AF94" s="275">
        <v>175000</v>
      </c>
      <c r="AG94" s="275">
        <v>225000</v>
      </c>
      <c r="AH94" s="275">
        <v>250000</v>
      </c>
      <c r="AI94" s="275">
        <v>250000</v>
      </c>
      <c r="AJ94" s="275">
        <v>250000</v>
      </c>
      <c r="AK94" s="275">
        <v>250000</v>
      </c>
      <c r="AL94" s="275">
        <v>250000</v>
      </c>
      <c r="AM94" s="275">
        <v>250000</v>
      </c>
      <c r="AN94" s="275">
        <v>204000</v>
      </c>
      <c r="AO94" s="53"/>
      <c r="AP94" s="47"/>
      <c r="AQ94" s="53">
        <f t="shared" si="36"/>
        <v>2430811</v>
      </c>
      <c r="AR94" s="51"/>
      <c r="AS94" s="357">
        <f t="shared" si="34"/>
        <v>201811</v>
      </c>
    </row>
    <row r="95" spans="1:47" s="36" customFormat="1" ht="15.75" x14ac:dyDescent="0.25">
      <c r="A95" s="374" t="s">
        <v>578</v>
      </c>
      <c r="B95" s="375" t="s">
        <v>443</v>
      </c>
      <c r="C95" s="52" t="s">
        <v>45</v>
      </c>
      <c r="D95" s="52" t="s">
        <v>45</v>
      </c>
      <c r="E95" s="52" t="s">
        <v>893</v>
      </c>
      <c r="F95" s="56" t="s">
        <v>230</v>
      </c>
      <c r="G95" s="52" t="s">
        <v>623</v>
      </c>
      <c r="H95" s="52" t="s">
        <v>320</v>
      </c>
      <c r="I95" s="52" t="s">
        <v>838</v>
      </c>
      <c r="J95" s="52"/>
      <c r="K95" s="330" t="s">
        <v>370</v>
      </c>
      <c r="L95" s="52">
        <v>44530</v>
      </c>
      <c r="M95" s="52">
        <f>O94</f>
        <v>44700</v>
      </c>
      <c r="N95" s="52">
        <v>44620</v>
      </c>
      <c r="O95" s="52">
        <f>M95+90</f>
        <v>44790</v>
      </c>
      <c r="P95" s="50" t="e">
        <f t="shared" si="25"/>
        <v>#VALUE!</v>
      </c>
      <c r="Q95" s="50">
        <f t="shared" si="38"/>
        <v>90</v>
      </c>
      <c r="R95" s="50">
        <f t="shared" si="35"/>
        <v>90</v>
      </c>
      <c r="S95" s="52" t="s">
        <v>320</v>
      </c>
      <c r="T95" s="376">
        <f>O95+90</f>
        <v>44880</v>
      </c>
      <c r="U95" s="52">
        <f>T95+(4*4.3*7)</f>
        <v>45000.4</v>
      </c>
      <c r="V95" s="50">
        <v>4.0000000000000488</v>
      </c>
      <c r="W95" s="50">
        <f t="shared" si="37"/>
        <v>4.0000000000000488</v>
      </c>
      <c r="X95" s="50"/>
      <c r="Y95" s="50"/>
      <c r="Z95" s="50"/>
      <c r="AA95" s="53">
        <v>360000</v>
      </c>
      <c r="AB95" s="211">
        <v>0</v>
      </c>
      <c r="AC95" s="115">
        <v>0</v>
      </c>
      <c r="AD95" s="115">
        <v>21249</v>
      </c>
      <c r="AE95" s="58"/>
      <c r="AF95" s="58"/>
      <c r="AG95" s="275">
        <v>50000</v>
      </c>
      <c r="AH95" s="275">
        <v>75000</v>
      </c>
      <c r="AI95" s="275">
        <v>125000</v>
      </c>
      <c r="AJ95" s="275">
        <v>110000</v>
      </c>
      <c r="AK95" s="58"/>
      <c r="AL95" s="58"/>
      <c r="AM95" s="58"/>
      <c r="AN95" s="58"/>
      <c r="AO95" s="53"/>
      <c r="AP95" s="47"/>
      <c r="AQ95" s="53">
        <f t="shared" si="36"/>
        <v>381249</v>
      </c>
      <c r="AR95" s="51"/>
      <c r="AS95" s="357">
        <f t="shared" si="34"/>
        <v>21249</v>
      </c>
      <c r="AU95" s="55"/>
    </row>
    <row r="96" spans="1:47" s="36" customFormat="1" ht="15.75" x14ac:dyDescent="0.25">
      <c r="A96" s="185"/>
      <c r="B96" s="35" t="s">
        <v>840</v>
      </c>
      <c r="C96" s="52" t="s">
        <v>45</v>
      </c>
      <c r="D96" s="52" t="s">
        <v>45</v>
      </c>
      <c r="E96" s="422" t="s">
        <v>890</v>
      </c>
      <c r="F96" s="57" t="s">
        <v>839</v>
      </c>
      <c r="G96" s="52" t="s">
        <v>623</v>
      </c>
      <c r="H96" s="52" t="s">
        <v>320</v>
      </c>
      <c r="I96" s="422" t="s">
        <v>843</v>
      </c>
      <c r="J96" s="422"/>
      <c r="K96" s="276">
        <v>44722</v>
      </c>
      <c r="L96" s="52"/>
      <c r="M96" s="52"/>
      <c r="N96" s="52"/>
      <c r="O96" s="52"/>
      <c r="P96" s="50">
        <f t="shared" si="25"/>
        <v>-44722</v>
      </c>
      <c r="Q96" s="50">
        <f t="shared" si="38"/>
        <v>0</v>
      </c>
      <c r="R96" s="50">
        <f t="shared" si="35"/>
        <v>0</v>
      </c>
      <c r="S96" s="52" t="s">
        <v>320</v>
      </c>
      <c r="T96" s="376"/>
      <c r="U96" s="52"/>
      <c r="V96" s="50"/>
      <c r="W96" s="50"/>
      <c r="X96" s="50"/>
      <c r="Y96" s="50"/>
      <c r="Z96" s="50"/>
      <c r="AA96" s="53"/>
      <c r="AB96" s="211">
        <v>0</v>
      </c>
      <c r="AC96" s="115">
        <v>0</v>
      </c>
      <c r="AD96" s="115">
        <v>0</v>
      </c>
      <c r="AE96" s="58"/>
      <c r="AF96" s="58"/>
      <c r="AG96" s="89"/>
      <c r="AH96" s="89"/>
      <c r="AI96" s="89"/>
      <c r="AJ96" s="89"/>
      <c r="AK96" s="58"/>
      <c r="AL96" s="58"/>
      <c r="AM96" s="58"/>
      <c r="AN96" s="58"/>
      <c r="AO96" s="53"/>
      <c r="AP96" s="47"/>
      <c r="AQ96" s="53">
        <f t="shared" si="36"/>
        <v>0</v>
      </c>
      <c r="AR96" s="51"/>
      <c r="AS96" s="357">
        <f t="shared" si="34"/>
        <v>0</v>
      </c>
      <c r="AU96" s="55"/>
    </row>
    <row r="97" spans="1:47" s="36" customFormat="1" ht="15.75" x14ac:dyDescent="0.25">
      <c r="A97" s="185"/>
      <c r="B97" s="35" t="s">
        <v>841</v>
      </c>
      <c r="C97" s="52" t="s">
        <v>45</v>
      </c>
      <c r="D97" s="52" t="s">
        <v>45</v>
      </c>
      <c r="E97" s="422" t="s">
        <v>890</v>
      </c>
      <c r="F97" s="57" t="s">
        <v>844</v>
      </c>
      <c r="G97" s="52" t="s">
        <v>623</v>
      </c>
      <c r="H97" s="52" t="s">
        <v>320</v>
      </c>
      <c r="I97" s="422" t="s">
        <v>842</v>
      </c>
      <c r="J97" s="422"/>
      <c r="K97" s="276">
        <v>44655</v>
      </c>
      <c r="L97" s="52"/>
      <c r="M97" s="52"/>
      <c r="N97" s="52"/>
      <c r="O97" s="52"/>
      <c r="P97" s="50">
        <f t="shared" si="25"/>
        <v>-44655</v>
      </c>
      <c r="Q97" s="50">
        <f t="shared" si="38"/>
        <v>0</v>
      </c>
      <c r="R97" s="50">
        <f t="shared" si="35"/>
        <v>0</v>
      </c>
      <c r="S97" s="52" t="s">
        <v>320</v>
      </c>
      <c r="T97" s="52"/>
      <c r="U97" s="52"/>
      <c r="V97" s="50"/>
      <c r="W97" s="50"/>
      <c r="X97" s="50"/>
      <c r="Y97" s="50"/>
      <c r="Z97" s="50"/>
      <c r="AA97" s="53"/>
      <c r="AB97" s="211">
        <v>0</v>
      </c>
      <c r="AC97" s="115">
        <v>0</v>
      </c>
      <c r="AD97" s="115">
        <v>0</v>
      </c>
      <c r="AE97" s="58"/>
      <c r="AF97" s="58"/>
      <c r="AG97" s="89"/>
      <c r="AH97" s="89"/>
      <c r="AI97" s="89"/>
      <c r="AJ97" s="89"/>
      <c r="AK97" s="58"/>
      <c r="AL97" s="58"/>
      <c r="AM97" s="58"/>
      <c r="AN97" s="58"/>
      <c r="AO97" s="53"/>
      <c r="AP97" s="47"/>
      <c r="AQ97" s="53">
        <f t="shared" si="36"/>
        <v>0</v>
      </c>
      <c r="AR97" s="51"/>
      <c r="AS97" s="357">
        <f t="shared" si="34"/>
        <v>0</v>
      </c>
      <c r="AU97" s="55"/>
    </row>
    <row r="98" spans="1:47" s="36" customFormat="1" ht="15.75" x14ac:dyDescent="0.25">
      <c r="A98" s="34" t="s">
        <v>865</v>
      </c>
      <c r="B98" s="63" t="s">
        <v>866</v>
      </c>
      <c r="C98" s="52" t="s">
        <v>45</v>
      </c>
      <c r="D98" s="52" t="s">
        <v>45</v>
      </c>
      <c r="E98" s="422" t="s">
        <v>891</v>
      </c>
      <c r="F98" s="57"/>
      <c r="G98" s="52" t="s">
        <v>623</v>
      </c>
      <c r="H98" s="52" t="s">
        <v>320</v>
      </c>
      <c r="I98" s="422" t="s">
        <v>867</v>
      </c>
      <c r="J98" s="422"/>
      <c r="K98" s="330"/>
      <c r="L98" s="52"/>
      <c r="M98" s="52"/>
      <c r="N98" s="52"/>
      <c r="O98" s="52"/>
      <c r="P98" s="50">
        <f t="shared" si="25"/>
        <v>0</v>
      </c>
      <c r="Q98" s="52"/>
      <c r="R98" s="50"/>
      <c r="S98" s="52"/>
      <c r="T98" s="52"/>
      <c r="U98" s="52"/>
      <c r="V98" s="50"/>
      <c r="W98" s="50"/>
      <c r="X98" s="50"/>
      <c r="Y98" s="50"/>
      <c r="Z98" s="50"/>
      <c r="AA98" s="53">
        <v>96582.13</v>
      </c>
      <c r="AB98" s="211">
        <v>96582.13</v>
      </c>
      <c r="AC98" s="115">
        <v>0</v>
      </c>
      <c r="AD98" s="115">
        <v>0</v>
      </c>
      <c r="AE98" s="58"/>
      <c r="AF98" s="58"/>
      <c r="AG98" s="89"/>
      <c r="AH98" s="89"/>
      <c r="AI98" s="89"/>
      <c r="AJ98" s="89"/>
      <c r="AK98" s="58"/>
      <c r="AL98" s="58"/>
      <c r="AM98" s="58"/>
      <c r="AN98" s="58"/>
      <c r="AO98" s="53"/>
      <c r="AP98" s="47"/>
      <c r="AQ98" s="53">
        <f t="shared" si="36"/>
        <v>96582.13</v>
      </c>
      <c r="AR98" s="51"/>
      <c r="AS98" s="357">
        <f t="shared" si="34"/>
        <v>0</v>
      </c>
      <c r="AU98" s="55"/>
    </row>
    <row r="99" spans="1:47" s="36" customFormat="1" ht="15.75" x14ac:dyDescent="0.25">
      <c r="A99" s="185"/>
      <c r="B99" s="35" t="s">
        <v>882</v>
      </c>
      <c r="C99" s="52" t="s">
        <v>45</v>
      </c>
      <c r="D99" s="52" t="s">
        <v>45</v>
      </c>
      <c r="E99" s="422" t="s">
        <v>890</v>
      </c>
      <c r="F99" s="57"/>
      <c r="G99" s="52" t="s">
        <v>623</v>
      </c>
      <c r="H99" s="52" t="s">
        <v>320</v>
      </c>
      <c r="I99" s="422"/>
      <c r="J99" s="422"/>
      <c r="K99" s="330"/>
      <c r="L99" s="52"/>
      <c r="M99" s="52"/>
      <c r="N99" s="52"/>
      <c r="O99" s="52"/>
      <c r="P99" s="50">
        <f t="shared" si="25"/>
        <v>0</v>
      </c>
      <c r="Q99" s="52"/>
      <c r="R99" s="50"/>
      <c r="S99" s="52"/>
      <c r="T99" s="276">
        <v>44788</v>
      </c>
      <c r="U99" s="52"/>
      <c r="V99" s="50"/>
      <c r="W99" s="50"/>
      <c r="X99" s="50"/>
      <c r="Y99" s="50"/>
      <c r="Z99" s="50"/>
      <c r="AA99" s="53">
        <v>5000000</v>
      </c>
      <c r="AB99" s="115">
        <v>0</v>
      </c>
      <c r="AC99" s="115">
        <v>0</v>
      </c>
      <c r="AD99" s="115">
        <v>0</v>
      </c>
      <c r="AE99" s="58"/>
      <c r="AF99" s="58"/>
      <c r="AG99" s="89"/>
      <c r="AH99" s="89"/>
      <c r="AI99" s="89"/>
      <c r="AJ99" s="89"/>
      <c r="AK99" s="58"/>
      <c r="AL99" s="58"/>
      <c r="AM99" s="58"/>
      <c r="AN99" s="58">
        <v>5000000</v>
      </c>
      <c r="AO99" s="53"/>
      <c r="AP99" s="47"/>
      <c r="AQ99" s="53">
        <f t="shared" si="36"/>
        <v>5000000</v>
      </c>
      <c r="AR99" s="51"/>
      <c r="AS99" s="357">
        <f t="shared" si="34"/>
        <v>0</v>
      </c>
      <c r="AU99" s="55"/>
    </row>
    <row r="100" spans="1:47" s="36" customFormat="1" ht="15.75" x14ac:dyDescent="0.25">
      <c r="A100" s="185"/>
      <c r="B100" s="35" t="s">
        <v>883</v>
      </c>
      <c r="C100" s="52" t="s">
        <v>45</v>
      </c>
      <c r="D100" s="52" t="s">
        <v>45</v>
      </c>
      <c r="E100" s="422" t="s">
        <v>891</v>
      </c>
      <c r="F100" s="57"/>
      <c r="G100" s="52" t="s">
        <v>623</v>
      </c>
      <c r="H100" s="52" t="s">
        <v>320</v>
      </c>
      <c r="I100" s="422"/>
      <c r="J100" s="422"/>
      <c r="K100" s="330"/>
      <c r="L100" s="52"/>
      <c r="M100" s="52"/>
      <c r="N100" s="52"/>
      <c r="O100" s="52"/>
      <c r="P100" s="50">
        <f t="shared" si="25"/>
        <v>0</v>
      </c>
      <c r="Q100" s="52"/>
      <c r="R100" s="50"/>
      <c r="S100" s="52"/>
      <c r="T100" s="276">
        <v>44819</v>
      </c>
      <c r="U100" s="52"/>
      <c r="V100" s="50"/>
      <c r="W100" s="50"/>
      <c r="X100" s="50"/>
      <c r="Y100" s="50"/>
      <c r="Z100" s="50"/>
      <c r="AA100" s="53">
        <v>8000000</v>
      </c>
      <c r="AB100" s="115">
        <v>0</v>
      </c>
      <c r="AC100" s="115">
        <v>0</v>
      </c>
      <c r="AD100" s="115">
        <v>0</v>
      </c>
      <c r="AE100" s="58"/>
      <c r="AF100" s="58"/>
      <c r="AG100" s="89"/>
      <c r="AH100" s="89"/>
      <c r="AI100" s="89"/>
      <c r="AJ100" s="89"/>
      <c r="AK100" s="58"/>
      <c r="AL100" s="58"/>
      <c r="AM100" s="58"/>
      <c r="AN100" s="58">
        <v>8000000</v>
      </c>
      <c r="AO100" s="53"/>
      <c r="AP100" s="47"/>
      <c r="AQ100" s="53">
        <f t="shared" si="36"/>
        <v>8000000</v>
      </c>
      <c r="AR100" s="51"/>
      <c r="AS100" s="357">
        <f t="shared" si="34"/>
        <v>0</v>
      </c>
      <c r="AU100" s="55"/>
    </row>
    <row r="101" spans="1:47" s="36" customFormat="1" ht="15.75" x14ac:dyDescent="0.25">
      <c r="A101" s="185"/>
      <c r="B101" s="35" t="s">
        <v>894</v>
      </c>
      <c r="C101" s="52" t="s">
        <v>45</v>
      </c>
      <c r="D101" s="52" t="s">
        <v>45</v>
      </c>
      <c r="E101" s="422" t="s">
        <v>893</v>
      </c>
      <c r="F101" s="57"/>
      <c r="G101" s="52" t="s">
        <v>623</v>
      </c>
      <c r="H101" s="52" t="s">
        <v>320</v>
      </c>
      <c r="I101" s="422"/>
      <c r="J101" s="422"/>
      <c r="K101" s="330"/>
      <c r="L101" s="52"/>
      <c r="M101" s="52"/>
      <c r="N101" s="52"/>
      <c r="O101" s="52"/>
      <c r="P101" s="50">
        <f t="shared" si="25"/>
        <v>0</v>
      </c>
      <c r="Q101" s="52"/>
      <c r="R101" s="50"/>
      <c r="S101" s="52"/>
      <c r="T101" s="52"/>
      <c r="U101" s="52"/>
      <c r="V101" s="50"/>
      <c r="W101" s="50"/>
      <c r="X101" s="50"/>
      <c r="Y101" s="50"/>
      <c r="Z101" s="50"/>
      <c r="AA101" s="53"/>
      <c r="AB101" s="115">
        <v>0</v>
      </c>
      <c r="AC101" s="115">
        <v>0</v>
      </c>
      <c r="AD101" s="115">
        <v>0</v>
      </c>
      <c r="AE101" s="58"/>
      <c r="AF101" s="58"/>
      <c r="AG101" s="89"/>
      <c r="AH101" s="89"/>
      <c r="AI101" s="89"/>
      <c r="AJ101" s="89"/>
      <c r="AK101" s="58"/>
      <c r="AL101" s="58"/>
      <c r="AM101" s="58"/>
      <c r="AN101" s="58"/>
      <c r="AO101" s="53"/>
      <c r="AP101" s="47"/>
      <c r="AQ101" s="53">
        <f t="shared" si="36"/>
        <v>0</v>
      </c>
      <c r="AR101" s="51"/>
      <c r="AS101" s="357">
        <f t="shared" si="34"/>
        <v>0</v>
      </c>
      <c r="AU101" s="55"/>
    </row>
    <row r="102" spans="1:47" s="36" customFormat="1" ht="15.75" x14ac:dyDescent="0.25">
      <c r="A102" s="185"/>
      <c r="B102" s="35" t="s">
        <v>895</v>
      </c>
      <c r="C102" s="52" t="s">
        <v>45</v>
      </c>
      <c r="D102" s="52" t="s">
        <v>45</v>
      </c>
      <c r="E102" s="422" t="s">
        <v>893</v>
      </c>
      <c r="F102" s="57"/>
      <c r="G102" s="52" t="s">
        <v>623</v>
      </c>
      <c r="H102" s="52" t="s">
        <v>320</v>
      </c>
      <c r="I102" s="422"/>
      <c r="J102" s="422"/>
      <c r="K102" s="330"/>
      <c r="L102" s="52"/>
      <c r="M102" s="52"/>
      <c r="N102" s="52"/>
      <c r="O102" s="52"/>
      <c r="P102" s="50">
        <f t="shared" si="25"/>
        <v>0</v>
      </c>
      <c r="Q102" s="52"/>
      <c r="R102" s="50"/>
      <c r="S102" s="52"/>
      <c r="T102" s="52"/>
      <c r="U102" s="52"/>
      <c r="V102" s="50"/>
      <c r="W102" s="50"/>
      <c r="X102" s="50"/>
      <c r="Y102" s="50"/>
      <c r="Z102" s="50"/>
      <c r="AA102" s="53"/>
      <c r="AB102" s="115">
        <v>0</v>
      </c>
      <c r="AC102" s="115">
        <v>0</v>
      </c>
      <c r="AD102" s="115">
        <v>0</v>
      </c>
      <c r="AE102" s="58"/>
      <c r="AF102" s="58"/>
      <c r="AG102" s="89"/>
      <c r="AH102" s="89"/>
      <c r="AI102" s="89"/>
      <c r="AJ102" s="89"/>
      <c r="AK102" s="58"/>
      <c r="AL102" s="58"/>
      <c r="AM102" s="58"/>
      <c r="AN102" s="58"/>
      <c r="AO102" s="53"/>
      <c r="AP102" s="47"/>
      <c r="AQ102" s="53">
        <f t="shared" si="36"/>
        <v>0</v>
      </c>
      <c r="AR102" s="51"/>
      <c r="AS102" s="357">
        <f t="shared" si="34"/>
        <v>0</v>
      </c>
      <c r="AU102" s="55"/>
    </row>
    <row r="103" spans="1:47" s="36" customFormat="1" ht="15.75" x14ac:dyDescent="0.25">
      <c r="A103" s="185"/>
      <c r="B103" s="35" t="s">
        <v>933</v>
      </c>
      <c r="C103" s="52"/>
      <c r="D103" s="52"/>
      <c r="E103" s="422" t="s">
        <v>892</v>
      </c>
      <c r="F103" s="57" t="s">
        <v>934</v>
      </c>
      <c r="G103" s="52" t="s">
        <v>623</v>
      </c>
      <c r="H103" s="52" t="s">
        <v>320</v>
      </c>
      <c r="I103" s="422"/>
      <c r="J103" s="422"/>
      <c r="K103" s="330"/>
      <c r="L103" s="52"/>
      <c r="M103" s="52"/>
      <c r="N103" s="52"/>
      <c r="O103" s="52"/>
      <c r="P103" s="50"/>
      <c r="Q103" s="52"/>
      <c r="R103" s="50"/>
      <c r="S103" s="52"/>
      <c r="T103" s="52"/>
      <c r="U103" s="52"/>
      <c r="V103" s="50"/>
      <c r="W103" s="50"/>
      <c r="X103" s="50"/>
      <c r="Y103" s="50"/>
      <c r="Z103" s="50"/>
      <c r="AA103" s="53"/>
      <c r="AB103" s="115">
        <v>0</v>
      </c>
      <c r="AC103" s="115">
        <v>0</v>
      </c>
      <c r="AD103" s="115">
        <v>0</v>
      </c>
      <c r="AE103" s="58"/>
      <c r="AF103" s="58"/>
      <c r="AG103" s="89"/>
      <c r="AH103" s="89"/>
      <c r="AI103" s="89"/>
      <c r="AJ103" s="89"/>
      <c r="AK103" s="58"/>
      <c r="AL103" s="58"/>
      <c r="AM103" s="58"/>
      <c r="AN103" s="58"/>
      <c r="AO103" s="53"/>
      <c r="AP103" s="47"/>
      <c r="AQ103" s="53">
        <f t="shared" si="36"/>
        <v>0</v>
      </c>
      <c r="AR103" s="51"/>
      <c r="AS103" s="357">
        <f t="shared" si="34"/>
        <v>0</v>
      </c>
      <c r="AU103" s="55"/>
    </row>
    <row r="104" spans="1:47" s="36" customFormat="1" ht="15.75" x14ac:dyDescent="0.25">
      <c r="A104" s="34"/>
      <c r="B104" s="35"/>
      <c r="C104" s="52"/>
      <c r="D104" s="52"/>
      <c r="E104" s="422"/>
      <c r="F104" s="57"/>
      <c r="G104" s="52"/>
      <c r="H104" s="52"/>
      <c r="I104" s="422"/>
      <c r="J104" s="422"/>
      <c r="K104" s="52"/>
      <c r="L104" s="52"/>
      <c r="M104" s="52"/>
      <c r="N104" s="52"/>
      <c r="O104" s="52"/>
      <c r="P104" s="50"/>
      <c r="Q104" s="52"/>
      <c r="R104" s="50"/>
      <c r="S104" s="52"/>
      <c r="T104" s="52"/>
      <c r="U104" s="52"/>
      <c r="V104" s="50"/>
      <c r="W104" s="68"/>
      <c r="X104" s="50"/>
      <c r="Y104" s="50"/>
      <c r="Z104" s="50"/>
      <c r="AA104" s="53"/>
      <c r="AB104" s="115">
        <v>0</v>
      </c>
      <c r="AC104" s="115">
        <v>0</v>
      </c>
      <c r="AD104" s="115">
        <v>0</v>
      </c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3"/>
      <c r="AP104" s="47"/>
      <c r="AQ104" s="53">
        <f t="shared" si="36"/>
        <v>0</v>
      </c>
      <c r="AR104" s="51"/>
      <c r="AS104" s="357">
        <f>AQ104-AA104</f>
        <v>0</v>
      </c>
    </row>
    <row r="105" spans="1:47" s="36" customFormat="1" ht="15.75" x14ac:dyDescent="0.25">
      <c r="A105" s="99"/>
      <c r="B105" s="100"/>
      <c r="C105" s="91"/>
      <c r="D105" s="91"/>
      <c r="E105" s="429"/>
      <c r="F105" s="100"/>
      <c r="G105" s="91"/>
      <c r="H105" s="91"/>
      <c r="I105" s="429"/>
      <c r="J105" s="429"/>
      <c r="K105" s="91"/>
      <c r="L105" s="91"/>
      <c r="M105" s="91"/>
      <c r="N105" s="91"/>
      <c r="O105" s="91"/>
      <c r="P105" s="92"/>
      <c r="Q105" s="91"/>
      <c r="R105" s="92"/>
      <c r="S105" s="91"/>
      <c r="T105" s="91"/>
      <c r="U105" s="91"/>
      <c r="V105" s="92"/>
      <c r="W105" s="92"/>
      <c r="X105" s="92"/>
      <c r="Y105" s="92"/>
      <c r="Z105" s="92"/>
      <c r="AA105" s="59">
        <f t="shared" ref="AA105:AO105" si="39">SUBTOTAL(9,AA52:AA104)</f>
        <v>60618654.130000003</v>
      </c>
      <c r="AB105" s="59">
        <f t="shared" si="39"/>
        <v>96582.13</v>
      </c>
      <c r="AC105" s="59">
        <f t="shared" si="39"/>
        <v>0</v>
      </c>
      <c r="AD105" s="59" t="e">
        <f t="shared" si="39"/>
        <v>#REF!</v>
      </c>
      <c r="AE105" s="59">
        <f t="shared" si="39"/>
        <v>1800000</v>
      </c>
      <c r="AF105" s="59">
        <f t="shared" si="39"/>
        <v>2420000</v>
      </c>
      <c r="AG105" s="59">
        <f t="shared" si="39"/>
        <v>3310000</v>
      </c>
      <c r="AH105" s="59">
        <f t="shared" si="39"/>
        <v>3595000</v>
      </c>
      <c r="AI105" s="59">
        <f t="shared" si="39"/>
        <v>3635000</v>
      </c>
      <c r="AJ105" s="59">
        <f t="shared" si="39"/>
        <v>3375000</v>
      </c>
      <c r="AK105" s="59">
        <f t="shared" si="39"/>
        <v>3828000</v>
      </c>
      <c r="AL105" s="59">
        <f t="shared" si="39"/>
        <v>3165000</v>
      </c>
      <c r="AM105" s="59">
        <f t="shared" si="39"/>
        <v>3100000</v>
      </c>
      <c r="AN105" s="59">
        <f t="shared" si="39"/>
        <v>19064072</v>
      </c>
      <c r="AO105" s="59">
        <f t="shared" si="39"/>
        <v>13180000</v>
      </c>
      <c r="AP105" s="47"/>
      <c r="AQ105" s="59" t="e">
        <f>SUBTOTAL(9,AQ52:AQ104)</f>
        <v>#REF!</v>
      </c>
      <c r="AR105" s="51"/>
      <c r="AS105" s="357" t="e">
        <f>AQ105-AA105</f>
        <v>#REF!</v>
      </c>
      <c r="AT105" s="55"/>
    </row>
    <row r="106" spans="1:47" s="36" customFormat="1" ht="16.5" thickBot="1" x14ac:dyDescent="0.3">
      <c r="A106" s="34"/>
      <c r="B106" s="35"/>
      <c r="C106" s="141"/>
      <c r="D106" s="141"/>
      <c r="E106" s="422"/>
      <c r="F106" s="35"/>
      <c r="G106" s="52"/>
      <c r="H106" s="52"/>
      <c r="I106" s="422"/>
      <c r="J106" s="422"/>
      <c r="K106" s="52"/>
      <c r="L106" s="52"/>
      <c r="M106" s="52"/>
      <c r="N106" s="52"/>
      <c r="O106" s="52"/>
      <c r="P106" s="50"/>
      <c r="Q106" s="52"/>
      <c r="R106" s="50"/>
      <c r="S106" s="52"/>
      <c r="T106" s="52"/>
      <c r="U106" s="141"/>
      <c r="V106" s="142"/>
      <c r="W106" s="142"/>
      <c r="X106" s="142"/>
      <c r="Y106" s="142"/>
      <c r="Z106" s="142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4"/>
      <c r="AQ106" s="143"/>
      <c r="AR106" s="145"/>
      <c r="AS106" s="357">
        <f>AQ106-AA106</f>
        <v>0</v>
      </c>
    </row>
    <row r="107" spans="1:47" s="36" customFormat="1" ht="16.5" thickBot="1" x14ac:dyDescent="0.3">
      <c r="C107" s="479"/>
      <c r="D107" s="469"/>
      <c r="E107" s="293"/>
      <c r="G107" s="37"/>
      <c r="H107" s="37"/>
      <c r="I107" s="37"/>
      <c r="J107" s="37"/>
      <c r="K107" s="37"/>
      <c r="L107" s="37"/>
      <c r="M107" s="293"/>
      <c r="N107" s="293"/>
      <c r="O107" s="293"/>
      <c r="P107" s="38"/>
      <c r="Q107" s="293"/>
      <c r="R107" s="38"/>
      <c r="S107" s="37"/>
      <c r="T107" s="37"/>
      <c r="U107" s="338"/>
      <c r="V107" s="441"/>
      <c r="W107" s="148" t="s">
        <v>445</v>
      </c>
      <c r="X107" s="148"/>
      <c r="Y107" s="148"/>
      <c r="Z107" s="148"/>
      <c r="AA107" s="149">
        <f t="shared" ref="AA107:AO107" si="40">SUBTOTAL(9,AA4:AA105)</f>
        <v>116784539.28999999</v>
      </c>
      <c r="AB107" s="149">
        <f t="shared" si="40"/>
        <v>32114168.809999995</v>
      </c>
      <c r="AC107" s="149">
        <f t="shared" si="40"/>
        <v>2519382.6599999997</v>
      </c>
      <c r="AD107" s="149" t="e">
        <f t="shared" si="40"/>
        <v>#REF!</v>
      </c>
      <c r="AE107" s="149">
        <f t="shared" si="40"/>
        <v>5070347.4399999995</v>
      </c>
      <c r="AF107" s="149">
        <v>5161679</v>
      </c>
      <c r="AG107" s="149">
        <v>5799709</v>
      </c>
      <c r="AH107" s="149">
        <v>5992605</v>
      </c>
      <c r="AI107" s="149">
        <v>5940000</v>
      </c>
      <c r="AJ107" s="149">
        <v>6300000</v>
      </c>
      <c r="AK107" s="149">
        <v>5992200</v>
      </c>
      <c r="AL107" s="149">
        <v>5492435</v>
      </c>
      <c r="AM107" s="149">
        <v>6248440</v>
      </c>
      <c r="AN107" s="149">
        <v>5475600</v>
      </c>
      <c r="AO107" s="149">
        <f t="shared" si="40"/>
        <v>13180000</v>
      </c>
      <c r="AP107" s="150"/>
      <c r="AQ107" s="149" t="e">
        <f>SUBTOTAL(9,AQ4:AQ105)</f>
        <v>#REF!</v>
      </c>
      <c r="AR107" s="153"/>
      <c r="AS107" s="357" t="e">
        <f>AQ107-AA107</f>
        <v>#REF!</v>
      </c>
      <c r="AT107" s="55"/>
    </row>
    <row r="108" spans="1:47" s="90" customFormat="1" ht="15.75" x14ac:dyDescent="0.25">
      <c r="C108" s="122"/>
      <c r="D108" s="293"/>
      <c r="E108" s="293"/>
      <c r="G108" s="122"/>
      <c r="H108" s="122"/>
      <c r="I108" s="122"/>
      <c r="J108" s="122"/>
      <c r="K108" s="122"/>
      <c r="L108" s="122"/>
      <c r="M108" s="295"/>
      <c r="N108" s="295"/>
      <c r="O108" s="295"/>
      <c r="P108" s="296"/>
      <c r="Q108" s="295"/>
      <c r="R108" s="296"/>
      <c r="S108" s="122"/>
      <c r="T108" s="122"/>
      <c r="U108" s="123"/>
      <c r="V108" s="442"/>
      <c r="W108" s="124"/>
      <c r="X108" s="124"/>
      <c r="Y108" s="124"/>
      <c r="Z108" s="124"/>
      <c r="AA108" s="124" t="s">
        <v>405</v>
      </c>
      <c r="AB108" s="128"/>
      <c r="AC108" s="128">
        <v>3086105</v>
      </c>
      <c r="AD108" s="128">
        <v>3235500</v>
      </c>
      <c r="AE108" s="128">
        <v>4441510</v>
      </c>
      <c r="AF108" s="128">
        <v>6000000</v>
      </c>
      <c r="AG108" s="128">
        <v>6825000</v>
      </c>
      <c r="AH108" s="128">
        <v>7100000</v>
      </c>
      <c r="AI108" s="128">
        <v>7100000</v>
      </c>
      <c r="AJ108" s="128">
        <v>7000000</v>
      </c>
      <c r="AK108" s="128">
        <v>6500000</v>
      </c>
      <c r="AL108" s="128">
        <v>6500000</v>
      </c>
      <c r="AM108" s="128">
        <v>6500000</v>
      </c>
      <c r="AN108" s="128">
        <v>6500000</v>
      </c>
      <c r="AO108" s="128">
        <v>80000000</v>
      </c>
      <c r="AP108" s="146"/>
      <c r="AQ108" s="125"/>
      <c r="AR108" s="126"/>
      <c r="AS108" s="361"/>
    </row>
    <row r="109" spans="1:47" ht="15.75" x14ac:dyDescent="0.25">
      <c r="D109" s="293"/>
      <c r="E109" s="293"/>
      <c r="U109" s="75"/>
      <c r="V109" s="442"/>
      <c r="AA109" s="38" t="s">
        <v>406</v>
      </c>
      <c r="AB109" s="128"/>
      <c r="AC109" s="128">
        <f t="shared" ref="AC109:AO109" si="41">AC107-AC108</f>
        <v>-566722.34000000032</v>
      </c>
      <c r="AD109" s="128" t="e">
        <f t="shared" si="41"/>
        <v>#REF!</v>
      </c>
      <c r="AE109" s="128">
        <f t="shared" si="41"/>
        <v>628837.43999999948</v>
      </c>
      <c r="AF109" s="128">
        <f t="shared" si="41"/>
        <v>-838321</v>
      </c>
      <c r="AG109" s="128">
        <f t="shared" si="41"/>
        <v>-1025291</v>
      </c>
      <c r="AH109" s="128">
        <f t="shared" si="41"/>
        <v>-1107395</v>
      </c>
      <c r="AI109" s="128">
        <f t="shared" si="41"/>
        <v>-1160000</v>
      </c>
      <c r="AJ109" s="128">
        <f t="shared" si="41"/>
        <v>-700000</v>
      </c>
      <c r="AK109" s="128">
        <f t="shared" si="41"/>
        <v>-507800</v>
      </c>
      <c r="AL109" s="128">
        <f t="shared" si="41"/>
        <v>-1007565</v>
      </c>
      <c r="AM109" s="128">
        <f t="shared" si="41"/>
        <v>-251560</v>
      </c>
      <c r="AN109" s="128">
        <f t="shared" si="41"/>
        <v>-1024400</v>
      </c>
      <c r="AO109" s="128">
        <f t="shared" si="41"/>
        <v>-66820000</v>
      </c>
      <c r="AP109" s="47"/>
      <c r="AQ109" s="76"/>
      <c r="AR109" s="77"/>
    </row>
    <row r="110" spans="1:47" ht="15.75" x14ac:dyDescent="0.25">
      <c r="D110" s="293"/>
      <c r="E110" s="293"/>
      <c r="AA110" s="38"/>
      <c r="AB110" s="278"/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379">
        <v>2021</v>
      </c>
      <c r="AO110" s="130">
        <v>45000000</v>
      </c>
      <c r="AP110" s="47"/>
    </row>
    <row r="111" spans="1:47" ht="15.75" x14ac:dyDescent="0.25">
      <c r="D111" s="293"/>
      <c r="E111" s="293"/>
      <c r="AA111" s="38" t="s">
        <v>407</v>
      </c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379">
        <v>2022</v>
      </c>
      <c r="AO111" s="130">
        <v>60000000</v>
      </c>
      <c r="AP111" s="47"/>
    </row>
    <row r="112" spans="1:47" ht="15.75" x14ac:dyDescent="0.25">
      <c r="D112" s="293"/>
      <c r="E112" s="293"/>
      <c r="AA112" s="38" t="s">
        <v>408</v>
      </c>
      <c r="AB112" s="278"/>
      <c r="AC112" s="278">
        <f>(AC108*0.9)*0.887</f>
        <v>2463637.6214999999</v>
      </c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379">
        <v>2023</v>
      </c>
      <c r="AO112" s="130">
        <f>60000000*1.2</f>
        <v>72000000</v>
      </c>
      <c r="AP112" s="47"/>
    </row>
    <row r="113" spans="1:45" ht="15.75" x14ac:dyDescent="0.25">
      <c r="D113" s="293"/>
      <c r="E113" s="293"/>
      <c r="AA113" s="38" t="s">
        <v>406</v>
      </c>
      <c r="AB113" s="278"/>
      <c r="AC113" s="278"/>
      <c r="AD113" s="278"/>
      <c r="AE113" s="485"/>
      <c r="AF113" s="278"/>
      <c r="AG113" s="278"/>
      <c r="AH113" s="278"/>
      <c r="AI113" s="278"/>
      <c r="AJ113" s="278"/>
      <c r="AK113" s="278"/>
      <c r="AL113" s="278"/>
      <c r="AM113" s="278"/>
      <c r="AN113" s="379">
        <v>2024</v>
      </c>
      <c r="AO113" s="130">
        <f>AO112*1.2</f>
        <v>86400000</v>
      </c>
      <c r="AP113" s="47"/>
    </row>
    <row r="114" spans="1:45" ht="15.75" x14ac:dyDescent="0.25">
      <c r="D114" s="293"/>
      <c r="E114" s="293"/>
      <c r="AA114" s="3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379">
        <v>2025</v>
      </c>
      <c r="AO114" s="130">
        <f t="shared" ref="AO114:AO122" si="42">AO113*1.15</f>
        <v>99359999.999999985</v>
      </c>
      <c r="AP114" s="47"/>
    </row>
    <row r="115" spans="1:45" ht="15.75" x14ac:dyDescent="0.25">
      <c r="D115" s="293"/>
      <c r="E115" s="293"/>
      <c r="AA115" s="38" t="s">
        <v>409</v>
      </c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379">
        <v>2026</v>
      </c>
      <c r="AO115" s="130">
        <f t="shared" si="42"/>
        <v>114263999.99999997</v>
      </c>
      <c r="AP115" s="47"/>
    </row>
    <row r="116" spans="1:45" ht="15.75" x14ac:dyDescent="0.25">
      <c r="D116" s="293"/>
      <c r="E116" s="293"/>
      <c r="AA116" s="38" t="s">
        <v>410</v>
      </c>
      <c r="AB116" s="278"/>
      <c r="AC116" s="278">
        <f>(AC108*0.877)*0.1</f>
        <v>270651.40850000002</v>
      </c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379">
        <v>2027</v>
      </c>
      <c r="AO116" s="130">
        <f t="shared" si="42"/>
        <v>131403599.99999996</v>
      </c>
      <c r="AP116" s="47"/>
    </row>
    <row r="117" spans="1:45" ht="15.75" x14ac:dyDescent="0.25">
      <c r="D117" s="293"/>
      <c r="E117" s="293"/>
      <c r="U117" s="75"/>
      <c r="V117" s="442"/>
      <c r="AA117" s="38" t="s">
        <v>406</v>
      </c>
      <c r="AB117" s="128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379">
        <v>2028</v>
      </c>
      <c r="AO117" s="130">
        <f t="shared" si="42"/>
        <v>151114139.99999994</v>
      </c>
      <c r="AP117" s="47"/>
      <c r="AQ117" s="76"/>
      <c r="AR117" s="77"/>
    </row>
    <row r="118" spans="1:45" ht="15.75" x14ac:dyDescent="0.25">
      <c r="D118" s="293"/>
      <c r="E118" s="293"/>
      <c r="U118" s="75"/>
      <c r="V118" s="442"/>
      <c r="AA118" s="38"/>
      <c r="AB118" s="128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379">
        <v>2029</v>
      </c>
      <c r="AO118" s="130">
        <f t="shared" si="42"/>
        <v>173781260.99999991</v>
      </c>
      <c r="AP118" s="47"/>
      <c r="AQ118" s="76"/>
      <c r="AR118" s="77"/>
    </row>
    <row r="119" spans="1:45" ht="15.75" x14ac:dyDescent="0.25">
      <c r="D119" s="293"/>
      <c r="E119" s="293"/>
      <c r="U119" s="75"/>
      <c r="V119" s="442"/>
      <c r="AA119" s="38" t="s">
        <v>411</v>
      </c>
      <c r="AB119" s="138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379">
        <v>2030</v>
      </c>
      <c r="AO119" s="130">
        <f t="shared" si="42"/>
        <v>199848450.14999989</v>
      </c>
      <c r="AP119" s="47"/>
      <c r="AQ119" s="76"/>
      <c r="AR119" s="77"/>
    </row>
    <row r="120" spans="1:45" ht="15.75" x14ac:dyDescent="0.25">
      <c r="D120" s="293"/>
      <c r="E120" s="293"/>
      <c r="U120" s="75"/>
      <c r="V120" s="442"/>
      <c r="AA120" s="38" t="s">
        <v>412</v>
      </c>
      <c r="AB120" s="137"/>
      <c r="AC120" s="137">
        <v>0.1</v>
      </c>
      <c r="AD120" s="137">
        <v>0.1</v>
      </c>
      <c r="AE120" s="137">
        <v>0.1</v>
      </c>
      <c r="AF120" s="137">
        <v>0.1</v>
      </c>
      <c r="AG120" s="137">
        <v>0.1</v>
      </c>
      <c r="AH120" s="137">
        <v>0.1</v>
      </c>
      <c r="AI120" s="137">
        <v>0.1</v>
      </c>
      <c r="AJ120" s="137">
        <v>0.1</v>
      </c>
      <c r="AK120" s="137">
        <v>0.1</v>
      </c>
      <c r="AL120" s="137">
        <v>0.1</v>
      </c>
      <c r="AM120" s="137">
        <v>0.1</v>
      </c>
      <c r="AN120" s="379">
        <v>2031</v>
      </c>
      <c r="AO120" s="130">
        <f t="shared" si="42"/>
        <v>229825717.67249987</v>
      </c>
      <c r="AP120" s="47"/>
      <c r="AQ120" s="76"/>
      <c r="AR120" s="77"/>
    </row>
    <row r="121" spans="1:45" ht="15.75" x14ac:dyDescent="0.25">
      <c r="D121" s="293"/>
      <c r="E121" s="293"/>
      <c r="U121" s="75"/>
      <c r="V121" s="442"/>
      <c r="AA121" s="38" t="s">
        <v>406</v>
      </c>
      <c r="AB121" s="138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379">
        <v>2032</v>
      </c>
      <c r="AO121" s="130">
        <f t="shared" si="42"/>
        <v>264299575.32337484</v>
      </c>
      <c r="AP121" s="47"/>
      <c r="AQ121" s="76"/>
      <c r="AR121" s="77"/>
    </row>
    <row r="122" spans="1:45" ht="15.75" x14ac:dyDescent="0.25">
      <c r="D122" s="293"/>
      <c r="E122" s="293"/>
      <c r="AA122" s="3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379">
        <v>2033</v>
      </c>
      <c r="AO122" s="130">
        <f t="shared" si="42"/>
        <v>303944511.62188107</v>
      </c>
      <c r="AP122" s="47"/>
    </row>
    <row r="123" spans="1:45" ht="15.75" x14ac:dyDescent="0.25">
      <c r="D123" s="293"/>
      <c r="E123" s="293"/>
      <c r="AA123" s="38" t="s">
        <v>413</v>
      </c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130"/>
      <c r="AP123" s="47"/>
    </row>
    <row r="124" spans="1:45" ht="15.75" x14ac:dyDescent="0.25">
      <c r="D124" s="293"/>
      <c r="E124" s="293"/>
      <c r="AA124" s="38" t="s">
        <v>414</v>
      </c>
      <c r="AB124" s="131"/>
      <c r="AC124" s="131">
        <v>300000</v>
      </c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0"/>
      <c r="AP124" s="47"/>
    </row>
    <row r="125" spans="1:45" ht="15.75" x14ac:dyDescent="0.25">
      <c r="D125" s="293"/>
      <c r="E125" s="293"/>
      <c r="U125" s="75"/>
      <c r="V125" s="442"/>
      <c r="AA125" s="38" t="s">
        <v>406</v>
      </c>
      <c r="AB125" s="128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47"/>
      <c r="AQ125" s="76"/>
      <c r="AR125" s="77"/>
    </row>
    <row r="126" spans="1:45" ht="15.75" x14ac:dyDescent="0.25">
      <c r="D126" s="293"/>
      <c r="E126" s="293"/>
      <c r="AA126" s="3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130"/>
      <c r="AP126" s="47"/>
    </row>
    <row r="127" spans="1:45" s="78" customFormat="1" ht="15.75" x14ac:dyDescent="0.25">
      <c r="A127"/>
      <c r="B127"/>
      <c r="C127" s="74"/>
      <c r="D127" s="293"/>
      <c r="E127" s="293"/>
      <c r="F127"/>
      <c r="G127" s="74"/>
      <c r="H127" s="74"/>
      <c r="I127" s="74"/>
      <c r="J127" s="74"/>
      <c r="K127" s="74"/>
      <c r="L127" s="74"/>
      <c r="M127" s="295"/>
      <c r="N127" s="295"/>
      <c r="O127" s="295"/>
      <c r="P127" s="296"/>
      <c r="Q127" s="295"/>
      <c r="R127" s="296"/>
      <c r="S127" s="74"/>
      <c r="T127" s="74"/>
      <c r="U127" s="74"/>
      <c r="V127" s="296"/>
      <c r="W127" s="38"/>
      <c r="X127" s="38"/>
      <c r="Y127" s="38"/>
      <c r="Z127" s="38"/>
      <c r="AA127" s="38"/>
      <c r="AB127" s="278"/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130"/>
      <c r="AP127" s="47"/>
      <c r="AR127" s="79"/>
      <c r="AS127" s="361"/>
    </row>
    <row r="128" spans="1:45" s="78" customFormat="1" ht="15.75" x14ac:dyDescent="0.25">
      <c r="A128"/>
      <c r="B128"/>
      <c r="C128" s="74"/>
      <c r="D128" s="293"/>
      <c r="E128" s="293"/>
      <c r="F128"/>
      <c r="G128" s="74"/>
      <c r="H128" s="74"/>
      <c r="I128" s="74"/>
      <c r="J128" s="74"/>
      <c r="K128" s="74"/>
      <c r="L128" s="74"/>
      <c r="M128" s="295"/>
      <c r="N128" s="295"/>
      <c r="O128" s="295"/>
      <c r="P128" s="296"/>
      <c r="Q128" s="295"/>
      <c r="R128" s="296"/>
      <c r="S128" s="74"/>
      <c r="T128" s="74"/>
      <c r="U128" s="74"/>
      <c r="V128" s="296"/>
      <c r="W128" s="38"/>
      <c r="X128" s="38"/>
      <c r="Y128" s="38"/>
      <c r="Z128" s="38"/>
      <c r="AA128" s="38" t="s">
        <v>415</v>
      </c>
      <c r="AB128" s="278"/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130"/>
      <c r="AP128" s="47"/>
      <c r="AR128" s="79"/>
      <c r="AS128" s="361"/>
    </row>
    <row r="129" spans="1:45" s="78" customFormat="1" ht="15.75" x14ac:dyDescent="0.25">
      <c r="A129"/>
      <c r="B129"/>
      <c r="C129" s="74"/>
      <c r="D129" s="293"/>
      <c r="E129" s="293"/>
      <c r="F129"/>
      <c r="G129" s="74"/>
      <c r="H129" s="74"/>
      <c r="I129" s="74"/>
      <c r="J129" s="74"/>
      <c r="K129" s="74"/>
      <c r="L129" s="74"/>
      <c r="M129" s="295"/>
      <c r="N129" s="295"/>
      <c r="O129" s="295"/>
      <c r="P129" s="296"/>
      <c r="Q129" s="295"/>
      <c r="R129" s="296"/>
      <c r="S129" s="74"/>
      <c r="T129" s="74"/>
      <c r="U129" s="74"/>
      <c r="V129" s="296"/>
      <c r="W129" s="38"/>
      <c r="X129" s="38"/>
      <c r="Y129" s="38"/>
      <c r="Z129" s="38"/>
      <c r="AA129" s="38" t="s">
        <v>416</v>
      </c>
      <c r="AB129" s="131"/>
      <c r="AC129" s="278" t="e">
        <f>SUM(#REF!)</f>
        <v>#REF!</v>
      </c>
      <c r="AD129" s="278"/>
      <c r="AE129" s="278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130"/>
      <c r="AP129" s="47"/>
      <c r="AR129" s="79"/>
      <c r="AS129" s="361"/>
    </row>
    <row r="130" spans="1:45" ht="15.75" x14ac:dyDescent="0.25">
      <c r="D130" s="293"/>
      <c r="E130" s="293"/>
      <c r="U130" s="75"/>
      <c r="V130" s="442"/>
      <c r="AA130" s="38" t="s">
        <v>406</v>
      </c>
      <c r="AB130" s="128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47"/>
      <c r="AQ130" s="76"/>
      <c r="AR130" s="77"/>
    </row>
    <row r="131" spans="1:45" ht="15.75" x14ac:dyDescent="0.25">
      <c r="C131" s="482"/>
      <c r="D131" s="504"/>
      <c r="E131" s="504"/>
      <c r="U131" s="75"/>
      <c r="V131" s="442"/>
      <c r="AA131" s="38"/>
      <c r="AB131" s="128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47"/>
      <c r="AQ131" s="76"/>
      <c r="AR131" s="77"/>
    </row>
    <row r="132" spans="1:45" s="36" customFormat="1" ht="15.75" x14ac:dyDescent="0.25">
      <c r="A132" s="106" t="s">
        <v>582</v>
      </c>
      <c r="B132" s="107"/>
      <c r="C132" s="475"/>
      <c r="D132" s="505"/>
      <c r="E132" s="506"/>
      <c r="F132" s="107"/>
      <c r="G132" s="102"/>
      <c r="H132" s="102"/>
      <c r="I132" s="101"/>
      <c r="J132" s="101"/>
      <c r="K132" s="102"/>
      <c r="L132" s="102"/>
      <c r="M132" s="276"/>
      <c r="N132" s="276"/>
      <c r="O132" s="276"/>
      <c r="P132" s="84"/>
      <c r="Q132" s="276"/>
      <c r="R132" s="84"/>
      <c r="S132" s="102"/>
      <c r="T132" s="102"/>
      <c r="U132" s="102"/>
      <c r="V132" s="84"/>
      <c r="W132" s="84"/>
      <c r="X132" s="84"/>
      <c r="Y132" s="84"/>
      <c r="Z132" s="84"/>
      <c r="AA132" s="19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47"/>
      <c r="AQ132" s="85"/>
      <c r="AR132" s="51"/>
      <c r="AS132" s="357">
        <f t="shared" ref="AS132:AS164" si="43">AQ132-AA132</f>
        <v>0</v>
      </c>
    </row>
    <row r="133" spans="1:45" s="36" customFormat="1" ht="15.75" x14ac:dyDescent="0.25">
      <c r="A133" s="34" t="s">
        <v>430</v>
      </c>
      <c r="B133" s="34" t="s">
        <v>431</v>
      </c>
      <c r="C133" s="52" t="s">
        <v>581</v>
      </c>
      <c r="D133" s="91" t="s">
        <v>581</v>
      </c>
      <c r="E133" s="91"/>
      <c r="F133" s="52" t="s">
        <v>581</v>
      </c>
      <c r="G133" s="52" t="s">
        <v>581</v>
      </c>
      <c r="H133" s="341"/>
      <c r="I133" s="341"/>
      <c r="J133" s="341"/>
      <c r="K133" s="341"/>
      <c r="L133" s="341"/>
      <c r="M133" s="341" t="s">
        <v>581</v>
      </c>
      <c r="N133" s="341"/>
      <c r="O133" s="341" t="s">
        <v>581</v>
      </c>
      <c r="P133" s="342"/>
      <c r="Q133" s="341"/>
      <c r="R133" s="341" t="s">
        <v>581</v>
      </c>
      <c r="S133" s="52" t="s">
        <v>320</v>
      </c>
      <c r="T133" s="52" t="s">
        <v>581</v>
      </c>
      <c r="U133" s="52" t="s">
        <v>581</v>
      </c>
      <c r="V133" s="342"/>
      <c r="W133" s="52" t="s">
        <v>581</v>
      </c>
      <c r="X133" s="52" t="s">
        <v>581</v>
      </c>
      <c r="Y133" s="52" t="s">
        <v>581</v>
      </c>
      <c r="Z133" s="52"/>
      <c r="AA133" s="182">
        <v>137906</v>
      </c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3"/>
      <c r="AP133" s="47"/>
      <c r="AQ133" s="53">
        <f t="shared" ref="AQ133:AQ154" si="44">SUM(AB133:AP133)</f>
        <v>0</v>
      </c>
      <c r="AR133" s="51"/>
      <c r="AS133" s="357">
        <f t="shared" si="43"/>
        <v>-137906</v>
      </c>
    </row>
    <row r="134" spans="1:45" s="36" customFormat="1" ht="15.75" x14ac:dyDescent="0.25">
      <c r="A134" s="60" t="s">
        <v>432</v>
      </c>
      <c r="B134" s="61" t="s">
        <v>433</v>
      </c>
      <c r="C134" s="52" t="s">
        <v>581</v>
      </c>
      <c r="D134" s="91" t="s">
        <v>581</v>
      </c>
      <c r="E134" s="91"/>
      <c r="F134" s="52" t="s">
        <v>581</v>
      </c>
      <c r="G134" s="52" t="s">
        <v>581</v>
      </c>
      <c r="H134" s="341"/>
      <c r="I134" s="341"/>
      <c r="J134" s="341"/>
      <c r="K134" s="341"/>
      <c r="L134" s="341"/>
      <c r="M134" s="341" t="s">
        <v>581</v>
      </c>
      <c r="N134" s="341"/>
      <c r="O134" s="341" t="s">
        <v>581</v>
      </c>
      <c r="P134" s="342"/>
      <c r="Q134" s="341"/>
      <c r="R134" s="341" t="s">
        <v>581</v>
      </c>
      <c r="S134" s="52" t="s">
        <v>320</v>
      </c>
      <c r="T134" s="52" t="s">
        <v>581</v>
      </c>
      <c r="U134" s="52" t="s">
        <v>581</v>
      </c>
      <c r="V134" s="342"/>
      <c r="W134" s="52" t="s">
        <v>581</v>
      </c>
      <c r="X134" s="52" t="s">
        <v>581</v>
      </c>
      <c r="Y134" s="52" t="s">
        <v>581</v>
      </c>
      <c r="Z134" s="52"/>
      <c r="AA134" s="182">
        <v>136537</v>
      </c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3"/>
      <c r="AP134" s="47"/>
      <c r="AQ134" s="53">
        <f t="shared" si="44"/>
        <v>0</v>
      </c>
      <c r="AR134" s="51"/>
      <c r="AS134" s="357">
        <f t="shared" si="43"/>
        <v>-136537</v>
      </c>
    </row>
    <row r="135" spans="1:45" s="36" customFormat="1" ht="15.75" x14ac:dyDescent="0.25">
      <c r="A135" s="60" t="s">
        <v>558</v>
      </c>
      <c r="B135" s="61" t="s">
        <v>641</v>
      </c>
      <c r="C135" s="52" t="s">
        <v>319</v>
      </c>
      <c r="D135" s="91" t="s">
        <v>319</v>
      </c>
      <c r="E135" s="91"/>
      <c r="F135" s="310" t="s">
        <v>319</v>
      </c>
      <c r="G135" s="310" t="s">
        <v>319</v>
      </c>
      <c r="H135" s="341"/>
      <c r="I135" s="341"/>
      <c r="J135" s="341"/>
      <c r="K135" s="341"/>
      <c r="L135" s="341"/>
      <c r="M135" s="341" t="s">
        <v>319</v>
      </c>
      <c r="N135" s="341"/>
      <c r="O135" s="341" t="s">
        <v>319</v>
      </c>
      <c r="P135" s="342"/>
      <c r="Q135" s="341"/>
      <c r="R135" s="341" t="s">
        <v>319</v>
      </c>
      <c r="S135" s="52" t="s">
        <v>320</v>
      </c>
      <c r="T135" s="310" t="s">
        <v>319</v>
      </c>
      <c r="U135" s="310" t="s">
        <v>319</v>
      </c>
      <c r="V135" s="342"/>
      <c r="W135" s="310" t="s">
        <v>319</v>
      </c>
      <c r="X135" s="310" t="s">
        <v>319</v>
      </c>
      <c r="Y135" s="310" t="s">
        <v>319</v>
      </c>
      <c r="Z135" s="310"/>
      <c r="AA135" s="306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3"/>
      <c r="AP135" s="47"/>
      <c r="AQ135" s="53">
        <f t="shared" si="44"/>
        <v>0</v>
      </c>
      <c r="AR135" s="51"/>
      <c r="AS135" s="357">
        <f t="shared" si="43"/>
        <v>0</v>
      </c>
    </row>
    <row r="136" spans="1:45" s="36" customFormat="1" ht="15.75" x14ac:dyDescent="0.25">
      <c r="A136" s="60" t="s">
        <v>161</v>
      </c>
      <c r="B136" s="61" t="s">
        <v>163</v>
      </c>
      <c r="C136" s="52" t="s">
        <v>165</v>
      </c>
      <c r="D136" s="91" t="s">
        <v>165</v>
      </c>
      <c r="E136" s="91"/>
      <c r="F136" s="52" t="s">
        <v>165</v>
      </c>
      <c r="G136" s="52" t="s">
        <v>165</v>
      </c>
      <c r="H136" s="341"/>
      <c r="I136" s="341"/>
      <c r="J136" s="341"/>
      <c r="K136" s="341"/>
      <c r="L136" s="341"/>
      <c r="M136" s="341" t="s">
        <v>165</v>
      </c>
      <c r="N136" s="341"/>
      <c r="O136" s="341" t="s">
        <v>165</v>
      </c>
      <c r="P136" s="342"/>
      <c r="Q136" s="341"/>
      <c r="R136" s="341" t="s">
        <v>165</v>
      </c>
      <c r="S136" s="52" t="s">
        <v>320</v>
      </c>
      <c r="T136" s="52" t="s">
        <v>165</v>
      </c>
      <c r="U136" s="52" t="s">
        <v>165</v>
      </c>
      <c r="V136" s="342"/>
      <c r="W136" s="52" t="s">
        <v>165</v>
      </c>
      <c r="X136" s="52" t="s">
        <v>165</v>
      </c>
      <c r="Y136" s="52" t="s">
        <v>165</v>
      </c>
      <c r="Z136" s="52"/>
      <c r="AA136" s="86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3"/>
      <c r="AP136" s="47"/>
      <c r="AQ136" s="53">
        <f t="shared" si="44"/>
        <v>0</v>
      </c>
      <c r="AR136" s="51"/>
      <c r="AS136" s="357">
        <f t="shared" si="43"/>
        <v>0</v>
      </c>
    </row>
    <row r="137" spans="1:45" s="36" customFormat="1" ht="15.75" x14ac:dyDescent="0.25">
      <c r="A137" s="60" t="s">
        <v>82</v>
      </c>
      <c r="B137" s="61" t="s">
        <v>532</v>
      </c>
      <c r="C137" s="52" t="s">
        <v>319</v>
      </c>
      <c r="D137" s="91" t="s">
        <v>319</v>
      </c>
      <c r="E137" s="467"/>
      <c r="F137" s="340" t="s">
        <v>451</v>
      </c>
      <c r="G137" s="52" t="s">
        <v>165</v>
      </c>
      <c r="H137" s="341"/>
      <c r="I137" s="460"/>
      <c r="J137" s="460"/>
      <c r="K137" s="341"/>
      <c r="L137" s="341"/>
      <c r="M137" s="341" t="s">
        <v>165</v>
      </c>
      <c r="N137" s="341"/>
      <c r="O137" s="341" t="s">
        <v>165</v>
      </c>
      <c r="P137" s="342"/>
      <c r="Q137" s="341"/>
      <c r="R137" s="341" t="s">
        <v>165</v>
      </c>
      <c r="S137" s="52" t="s">
        <v>370</v>
      </c>
      <c r="T137" s="52" t="s">
        <v>165</v>
      </c>
      <c r="U137" s="52" t="s">
        <v>165</v>
      </c>
      <c r="V137" s="342"/>
      <c r="W137" s="52" t="s">
        <v>165</v>
      </c>
      <c r="X137" s="52" t="s">
        <v>165</v>
      </c>
      <c r="Y137" s="52" t="s">
        <v>165</v>
      </c>
      <c r="Z137" s="52"/>
      <c r="AA137" s="86">
        <v>33274</v>
      </c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3"/>
      <c r="AP137" s="47"/>
      <c r="AQ137" s="53">
        <f t="shared" si="44"/>
        <v>0</v>
      </c>
      <c r="AR137" s="51"/>
      <c r="AS137" s="357">
        <f t="shared" si="43"/>
        <v>-33274</v>
      </c>
    </row>
    <row r="138" spans="1:45" s="36" customFormat="1" ht="15.75" x14ac:dyDescent="0.25">
      <c r="A138" s="34" t="s">
        <v>716</v>
      </c>
      <c r="B138" s="35" t="s">
        <v>699</v>
      </c>
      <c r="C138" s="52" t="s">
        <v>319</v>
      </c>
      <c r="D138" s="91" t="s">
        <v>319</v>
      </c>
      <c r="E138" s="467"/>
      <c r="F138" s="362" t="s">
        <v>700</v>
      </c>
      <c r="G138" s="52" t="s">
        <v>165</v>
      </c>
      <c r="H138" s="341"/>
      <c r="I138" s="460"/>
      <c r="J138" s="460"/>
      <c r="K138" s="341"/>
      <c r="L138" s="341"/>
      <c r="M138" s="341" t="s">
        <v>165</v>
      </c>
      <c r="N138" s="341"/>
      <c r="O138" s="341" t="s">
        <v>165</v>
      </c>
      <c r="P138" s="342"/>
      <c r="Q138" s="341"/>
      <c r="R138" s="341" t="s">
        <v>165</v>
      </c>
      <c r="S138" s="52" t="s">
        <v>320</v>
      </c>
      <c r="T138" s="52" t="s">
        <v>165</v>
      </c>
      <c r="U138" s="52" t="s">
        <v>165</v>
      </c>
      <c r="V138" s="342"/>
      <c r="W138" s="52" t="s">
        <v>165</v>
      </c>
      <c r="X138" s="52" t="s">
        <v>165</v>
      </c>
      <c r="Y138" s="52" t="s">
        <v>165</v>
      </c>
      <c r="Z138" s="52"/>
      <c r="AA138" s="53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3"/>
      <c r="AP138" s="47"/>
      <c r="AQ138" s="53">
        <f t="shared" si="44"/>
        <v>0</v>
      </c>
      <c r="AR138" s="51"/>
      <c r="AS138" s="357">
        <f t="shared" si="43"/>
        <v>0</v>
      </c>
    </row>
    <row r="139" spans="1:45" s="36" customFormat="1" ht="15.75" x14ac:dyDescent="0.25">
      <c r="A139" s="56" t="s">
        <v>298</v>
      </c>
      <c r="B139" s="57" t="s">
        <v>299</v>
      </c>
      <c r="C139" s="52" t="s">
        <v>319</v>
      </c>
      <c r="D139" s="91" t="s">
        <v>319</v>
      </c>
      <c r="E139" s="91"/>
      <c r="F139" s="310" t="s">
        <v>319</v>
      </c>
      <c r="G139" s="310" t="s">
        <v>319</v>
      </c>
      <c r="H139" s="341"/>
      <c r="I139" s="341"/>
      <c r="J139" s="341"/>
      <c r="K139" s="341"/>
      <c r="L139" s="341"/>
      <c r="M139" s="341" t="s">
        <v>319</v>
      </c>
      <c r="N139" s="341"/>
      <c r="O139" s="341" t="s">
        <v>319</v>
      </c>
      <c r="P139" s="342"/>
      <c r="Q139" s="341"/>
      <c r="R139" s="341" t="s">
        <v>319</v>
      </c>
      <c r="S139" s="52" t="s">
        <v>320</v>
      </c>
      <c r="T139" s="310" t="s">
        <v>319</v>
      </c>
      <c r="U139" s="310" t="s">
        <v>319</v>
      </c>
      <c r="V139" s="342"/>
      <c r="W139" s="310" t="s">
        <v>319</v>
      </c>
      <c r="X139" s="310" t="s">
        <v>319</v>
      </c>
      <c r="Y139" s="310" t="s">
        <v>319</v>
      </c>
      <c r="Z139" s="310"/>
      <c r="AA139" s="306"/>
      <c r="AB139" s="58"/>
      <c r="AC139" s="58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47"/>
      <c r="AQ139" s="53">
        <f t="shared" si="44"/>
        <v>0</v>
      </c>
      <c r="AR139" s="51"/>
      <c r="AS139" s="357">
        <f t="shared" si="43"/>
        <v>0</v>
      </c>
    </row>
    <row r="140" spans="1:45" s="36" customFormat="1" ht="15.75" x14ac:dyDescent="0.25">
      <c r="A140" s="34" t="s">
        <v>180</v>
      </c>
      <c r="B140" s="34" t="s">
        <v>182</v>
      </c>
      <c r="C140" s="52" t="s">
        <v>319</v>
      </c>
      <c r="D140" s="91" t="s">
        <v>319</v>
      </c>
      <c r="E140" s="91"/>
      <c r="F140" s="345" t="s">
        <v>697</v>
      </c>
      <c r="G140" s="310" t="s">
        <v>319</v>
      </c>
      <c r="H140" s="341"/>
      <c r="I140" s="341"/>
      <c r="J140" s="341"/>
      <c r="K140" s="341"/>
      <c r="L140" s="341"/>
      <c r="M140" s="341" t="s">
        <v>319</v>
      </c>
      <c r="N140" s="341"/>
      <c r="O140" s="341" t="s">
        <v>319</v>
      </c>
      <c r="P140" s="342"/>
      <c r="Q140" s="341"/>
      <c r="R140" s="341" t="s">
        <v>319</v>
      </c>
      <c r="S140" s="310" t="s">
        <v>370</v>
      </c>
      <c r="T140" s="310" t="s">
        <v>319</v>
      </c>
      <c r="U140" s="310" t="s">
        <v>319</v>
      </c>
      <c r="V140" s="342"/>
      <c r="W140" s="310" t="s">
        <v>319</v>
      </c>
      <c r="X140" s="310" t="s">
        <v>319</v>
      </c>
      <c r="Y140" s="310" t="s">
        <v>319</v>
      </c>
      <c r="Z140" s="310"/>
      <c r="AA140" s="351"/>
      <c r="AB140" s="58"/>
      <c r="AC140" s="58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47"/>
      <c r="AQ140" s="53">
        <f t="shared" si="44"/>
        <v>0</v>
      </c>
      <c r="AR140" s="51"/>
      <c r="AS140" s="357">
        <f t="shared" si="43"/>
        <v>0</v>
      </c>
    </row>
    <row r="141" spans="1:45" s="36" customFormat="1" ht="15.75" x14ac:dyDescent="0.25">
      <c r="A141" s="56" t="s">
        <v>316</v>
      </c>
      <c r="B141" s="56" t="s">
        <v>435</v>
      </c>
      <c r="C141" s="52" t="s">
        <v>319</v>
      </c>
      <c r="D141" s="91" t="s">
        <v>319</v>
      </c>
      <c r="E141" s="91"/>
      <c r="F141" s="52" t="s">
        <v>319</v>
      </c>
      <c r="G141" s="52" t="s">
        <v>319</v>
      </c>
      <c r="H141" s="341"/>
      <c r="I141" s="341"/>
      <c r="J141" s="341"/>
      <c r="K141" s="341"/>
      <c r="L141" s="341"/>
      <c r="M141" s="341" t="s">
        <v>319</v>
      </c>
      <c r="N141" s="341"/>
      <c r="O141" s="341" t="s">
        <v>319</v>
      </c>
      <c r="P141" s="342"/>
      <c r="Q141" s="341"/>
      <c r="R141" s="341" t="s">
        <v>319</v>
      </c>
      <c r="S141" s="52" t="s">
        <v>320</v>
      </c>
      <c r="T141" s="52" t="s">
        <v>319</v>
      </c>
      <c r="U141" s="52" t="s">
        <v>319</v>
      </c>
      <c r="V141" s="342"/>
      <c r="W141" s="52" t="s">
        <v>319</v>
      </c>
      <c r="X141" s="52" t="s">
        <v>319</v>
      </c>
      <c r="Y141" s="52" t="s">
        <v>319</v>
      </c>
      <c r="Z141" s="52"/>
      <c r="AA141" s="182">
        <v>461956</v>
      </c>
      <c r="AB141" s="58"/>
      <c r="AC141" s="58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47"/>
      <c r="AQ141" s="53">
        <f t="shared" si="44"/>
        <v>0</v>
      </c>
      <c r="AR141" s="51"/>
      <c r="AS141" s="357">
        <f t="shared" si="43"/>
        <v>-461956</v>
      </c>
    </row>
    <row r="142" spans="1:45" s="36" customFormat="1" ht="15.75" x14ac:dyDescent="0.25">
      <c r="A142" s="34" t="s">
        <v>325</v>
      </c>
      <c r="B142" s="35" t="s">
        <v>418</v>
      </c>
      <c r="C142" s="52" t="s">
        <v>319</v>
      </c>
      <c r="D142" s="91" t="s">
        <v>319</v>
      </c>
      <c r="E142" s="91"/>
      <c r="F142" s="52" t="s">
        <v>319</v>
      </c>
      <c r="G142" s="52" t="s">
        <v>319</v>
      </c>
      <c r="H142" s="341"/>
      <c r="I142" s="341"/>
      <c r="J142" s="341"/>
      <c r="K142" s="341"/>
      <c r="L142" s="341"/>
      <c r="M142" s="341" t="s">
        <v>319</v>
      </c>
      <c r="N142" s="341"/>
      <c r="O142" s="341" t="s">
        <v>319</v>
      </c>
      <c r="P142" s="342"/>
      <c r="Q142" s="341"/>
      <c r="R142" s="341" t="s">
        <v>319</v>
      </c>
      <c r="S142" s="52" t="s">
        <v>320</v>
      </c>
      <c r="T142" s="52" t="s">
        <v>319</v>
      </c>
      <c r="U142" s="52" t="s">
        <v>319</v>
      </c>
      <c r="V142" s="342"/>
      <c r="W142" s="52" t="s">
        <v>319</v>
      </c>
      <c r="X142" s="52" t="s">
        <v>319</v>
      </c>
      <c r="Y142" s="52" t="s">
        <v>319</v>
      </c>
      <c r="Z142" s="52"/>
      <c r="AA142" s="247">
        <v>15630</v>
      </c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3"/>
      <c r="AP142" s="47"/>
      <c r="AQ142" s="53">
        <f t="shared" si="44"/>
        <v>0</v>
      </c>
      <c r="AR142" s="51"/>
      <c r="AS142" s="357">
        <f t="shared" si="43"/>
        <v>-15630</v>
      </c>
    </row>
    <row r="143" spans="1:45" s="36" customFormat="1" ht="15.75" x14ac:dyDescent="0.25">
      <c r="A143" s="34" t="s">
        <v>328</v>
      </c>
      <c r="B143" s="35" t="s">
        <v>419</v>
      </c>
      <c r="C143" s="52" t="s">
        <v>319</v>
      </c>
      <c r="D143" s="91" t="s">
        <v>319</v>
      </c>
      <c r="E143" s="91"/>
      <c r="F143" s="52" t="s">
        <v>319</v>
      </c>
      <c r="G143" s="52" t="s">
        <v>319</v>
      </c>
      <c r="H143" s="341"/>
      <c r="I143" s="341"/>
      <c r="J143" s="341"/>
      <c r="K143" s="341"/>
      <c r="L143" s="341"/>
      <c r="M143" s="341" t="s">
        <v>319</v>
      </c>
      <c r="N143" s="341"/>
      <c r="O143" s="341" t="s">
        <v>319</v>
      </c>
      <c r="P143" s="342"/>
      <c r="Q143" s="341"/>
      <c r="R143" s="341" t="s">
        <v>319</v>
      </c>
      <c r="S143" s="52" t="s">
        <v>320</v>
      </c>
      <c r="T143" s="52" t="s">
        <v>319</v>
      </c>
      <c r="U143" s="52" t="s">
        <v>319</v>
      </c>
      <c r="V143" s="342"/>
      <c r="W143" s="52" t="s">
        <v>319</v>
      </c>
      <c r="X143" s="52" t="s">
        <v>319</v>
      </c>
      <c r="Y143" s="52" t="s">
        <v>319</v>
      </c>
      <c r="Z143" s="52"/>
      <c r="AA143" s="247">
        <v>15000</v>
      </c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3"/>
      <c r="AP143" s="47"/>
      <c r="AQ143" s="53">
        <f t="shared" si="44"/>
        <v>0</v>
      </c>
      <c r="AR143" s="51"/>
      <c r="AS143" s="357">
        <f t="shared" si="43"/>
        <v>-15000</v>
      </c>
    </row>
    <row r="144" spans="1:45" s="36" customFormat="1" ht="15.75" x14ac:dyDescent="0.25">
      <c r="A144" s="34" t="s">
        <v>110</v>
      </c>
      <c r="B144" s="35" t="s">
        <v>111</v>
      </c>
      <c r="C144" s="52" t="s">
        <v>319</v>
      </c>
      <c r="D144" s="91" t="s">
        <v>319</v>
      </c>
      <c r="E144" s="91"/>
      <c r="F144" s="52" t="s">
        <v>319</v>
      </c>
      <c r="G144" s="52" t="s">
        <v>319</v>
      </c>
      <c r="H144" s="341"/>
      <c r="I144" s="341"/>
      <c r="J144" s="341"/>
      <c r="K144" s="341"/>
      <c r="L144" s="341"/>
      <c r="M144" s="341" t="s">
        <v>319</v>
      </c>
      <c r="N144" s="341"/>
      <c r="O144" s="341" t="s">
        <v>319</v>
      </c>
      <c r="P144" s="342"/>
      <c r="Q144" s="341"/>
      <c r="R144" s="341" t="s">
        <v>319</v>
      </c>
      <c r="S144" s="52" t="s">
        <v>320</v>
      </c>
      <c r="T144" s="52" t="s">
        <v>319</v>
      </c>
      <c r="U144" s="52" t="s">
        <v>319</v>
      </c>
      <c r="V144" s="342"/>
      <c r="W144" s="52" t="s">
        <v>319</v>
      </c>
      <c r="X144" s="52" t="s">
        <v>319</v>
      </c>
      <c r="Y144" s="52" t="s">
        <v>319</v>
      </c>
      <c r="Z144" s="52"/>
      <c r="AA144" s="86"/>
      <c r="AB144" s="58"/>
      <c r="AC144" s="58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47"/>
      <c r="AQ144" s="53">
        <f t="shared" si="44"/>
        <v>0</v>
      </c>
      <c r="AR144" s="51"/>
      <c r="AS144" s="357">
        <f t="shared" si="43"/>
        <v>0</v>
      </c>
    </row>
    <row r="145" spans="1:47" s="36" customFormat="1" ht="15.75" x14ac:dyDescent="0.25">
      <c r="A145" s="34" t="s">
        <v>187</v>
      </c>
      <c r="B145" s="35" t="s">
        <v>188</v>
      </c>
      <c r="C145" s="52" t="s">
        <v>319</v>
      </c>
      <c r="D145" s="91" t="s">
        <v>319</v>
      </c>
      <c r="E145" s="91"/>
      <c r="F145" s="52" t="s">
        <v>319</v>
      </c>
      <c r="G145" s="52" t="s">
        <v>319</v>
      </c>
      <c r="H145" s="341"/>
      <c r="I145" s="341"/>
      <c r="J145" s="341"/>
      <c r="K145" s="341"/>
      <c r="L145" s="341"/>
      <c r="M145" s="341" t="s">
        <v>319</v>
      </c>
      <c r="N145" s="341"/>
      <c r="O145" s="341" t="s">
        <v>319</v>
      </c>
      <c r="P145" s="342"/>
      <c r="Q145" s="341"/>
      <c r="R145" s="341" t="s">
        <v>319</v>
      </c>
      <c r="S145" s="52" t="s">
        <v>320</v>
      </c>
      <c r="T145" s="52" t="s">
        <v>319</v>
      </c>
      <c r="U145" s="52" t="s">
        <v>319</v>
      </c>
      <c r="V145" s="342"/>
      <c r="W145" s="52" t="s">
        <v>319</v>
      </c>
      <c r="X145" s="52" t="s">
        <v>319</v>
      </c>
      <c r="Y145" s="52" t="s">
        <v>319</v>
      </c>
      <c r="Z145" s="52"/>
      <c r="AA145" s="182">
        <v>41062</v>
      </c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47"/>
      <c r="AQ145" s="53">
        <f t="shared" si="44"/>
        <v>0</v>
      </c>
      <c r="AR145" s="51"/>
      <c r="AS145" s="357">
        <f t="shared" si="43"/>
        <v>-41062</v>
      </c>
    </row>
    <row r="146" spans="1:47" s="36" customFormat="1" ht="15.75" x14ac:dyDescent="0.25">
      <c r="A146" s="34" t="s">
        <v>178</v>
      </c>
      <c r="B146" s="34" t="s">
        <v>179</v>
      </c>
      <c r="C146" s="52" t="s">
        <v>319</v>
      </c>
      <c r="D146" s="91" t="s">
        <v>319</v>
      </c>
      <c r="E146" s="91"/>
      <c r="F146" s="52" t="s">
        <v>319</v>
      </c>
      <c r="G146" s="52" t="s">
        <v>319</v>
      </c>
      <c r="H146" s="341"/>
      <c r="I146" s="341"/>
      <c r="J146" s="341"/>
      <c r="K146" s="341"/>
      <c r="L146" s="341"/>
      <c r="M146" s="341" t="s">
        <v>319</v>
      </c>
      <c r="N146" s="341"/>
      <c r="O146" s="341" t="s">
        <v>319</v>
      </c>
      <c r="P146" s="342"/>
      <c r="Q146" s="341"/>
      <c r="R146" s="341" t="s">
        <v>319</v>
      </c>
      <c r="S146" s="52" t="s">
        <v>320</v>
      </c>
      <c r="T146" s="52" t="s">
        <v>319</v>
      </c>
      <c r="U146" s="52" t="s">
        <v>319</v>
      </c>
      <c r="V146" s="342"/>
      <c r="W146" s="52" t="s">
        <v>319</v>
      </c>
      <c r="X146" s="52" t="s">
        <v>319</v>
      </c>
      <c r="Y146" s="52" t="s">
        <v>319</v>
      </c>
      <c r="Z146" s="52"/>
      <c r="AA146" s="86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3"/>
      <c r="AP146" s="47"/>
      <c r="AQ146" s="53">
        <f t="shared" si="44"/>
        <v>0</v>
      </c>
      <c r="AR146" s="51"/>
      <c r="AS146" s="357">
        <f t="shared" si="43"/>
        <v>0</v>
      </c>
    </row>
    <row r="147" spans="1:47" s="36" customFormat="1" ht="15.75" x14ac:dyDescent="0.25">
      <c r="A147" s="34" t="s">
        <v>544</v>
      </c>
      <c r="B147" s="34" t="s">
        <v>668</v>
      </c>
      <c r="C147" s="52" t="s">
        <v>319</v>
      </c>
      <c r="D147" s="91" t="s">
        <v>319</v>
      </c>
      <c r="E147" s="91"/>
      <c r="F147" s="345" t="s">
        <v>691</v>
      </c>
      <c r="G147" s="52" t="s">
        <v>319</v>
      </c>
      <c r="H147" s="341"/>
      <c r="I147" s="341"/>
      <c r="J147" s="341"/>
      <c r="K147" s="341"/>
      <c r="L147" s="341"/>
      <c r="M147" s="341" t="s">
        <v>319</v>
      </c>
      <c r="N147" s="341"/>
      <c r="O147" s="341" t="s">
        <v>319</v>
      </c>
      <c r="P147" s="342"/>
      <c r="Q147" s="341"/>
      <c r="R147" s="341" t="s">
        <v>319</v>
      </c>
      <c r="S147" s="52" t="s">
        <v>320</v>
      </c>
      <c r="T147" s="52" t="s">
        <v>319</v>
      </c>
      <c r="U147" s="52" t="s">
        <v>319</v>
      </c>
      <c r="V147" s="342"/>
      <c r="W147" s="52" t="s">
        <v>319</v>
      </c>
      <c r="X147" s="52" t="s">
        <v>319</v>
      </c>
      <c r="Y147" s="52" t="s">
        <v>319</v>
      </c>
      <c r="Z147" s="52"/>
      <c r="AA147" s="181">
        <v>15493</v>
      </c>
      <c r="AB147" s="58"/>
      <c r="AC147" s="58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47"/>
      <c r="AQ147" s="53">
        <f t="shared" si="44"/>
        <v>0</v>
      </c>
      <c r="AR147" s="51"/>
      <c r="AS147" s="357">
        <f t="shared" si="43"/>
        <v>-15493</v>
      </c>
    </row>
    <row r="148" spans="1:47" s="36" customFormat="1" ht="15.75" x14ac:dyDescent="0.25">
      <c r="A148" s="34" t="s">
        <v>602</v>
      </c>
      <c r="B148" s="35" t="s">
        <v>603</v>
      </c>
      <c r="C148" s="52" t="s">
        <v>319</v>
      </c>
      <c r="D148" s="91" t="s">
        <v>319</v>
      </c>
      <c r="E148" s="91"/>
      <c r="F148" s="52" t="s">
        <v>319</v>
      </c>
      <c r="G148" s="52" t="s">
        <v>319</v>
      </c>
      <c r="H148" s="341"/>
      <c r="I148" s="341"/>
      <c r="J148" s="341"/>
      <c r="K148" s="341"/>
      <c r="L148" s="341"/>
      <c r="M148" s="341" t="s">
        <v>319</v>
      </c>
      <c r="N148" s="341"/>
      <c r="O148" s="341" t="s">
        <v>319</v>
      </c>
      <c r="P148" s="342"/>
      <c r="Q148" s="341"/>
      <c r="R148" s="341" t="s">
        <v>319</v>
      </c>
      <c r="S148" s="52" t="s">
        <v>320</v>
      </c>
      <c r="T148" s="52" t="s">
        <v>319</v>
      </c>
      <c r="U148" s="52" t="s">
        <v>319</v>
      </c>
      <c r="V148" s="342"/>
      <c r="W148" s="52" t="s">
        <v>319</v>
      </c>
      <c r="X148" s="52" t="s">
        <v>319</v>
      </c>
      <c r="Y148" s="52" t="s">
        <v>319</v>
      </c>
      <c r="Z148" s="52"/>
      <c r="AA148" s="53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3"/>
      <c r="AP148" s="47"/>
      <c r="AQ148" s="53">
        <f t="shared" si="44"/>
        <v>0</v>
      </c>
      <c r="AR148" s="51"/>
      <c r="AS148" s="357">
        <f t="shared" si="43"/>
        <v>0</v>
      </c>
    </row>
    <row r="149" spans="1:47" s="36" customFormat="1" ht="15.75" x14ac:dyDescent="0.25">
      <c r="A149" s="34" t="s">
        <v>747</v>
      </c>
      <c r="B149" s="35" t="s">
        <v>598</v>
      </c>
      <c r="C149" s="52" t="s">
        <v>319</v>
      </c>
      <c r="D149" s="91" t="s">
        <v>319</v>
      </c>
      <c r="E149" s="91"/>
      <c r="F149" s="52" t="s">
        <v>319</v>
      </c>
      <c r="G149" s="52" t="s">
        <v>319</v>
      </c>
      <c r="H149" s="341"/>
      <c r="I149" s="341"/>
      <c r="J149" s="341"/>
      <c r="K149" s="341"/>
      <c r="L149" s="341"/>
      <c r="M149" s="341" t="s">
        <v>319</v>
      </c>
      <c r="N149" s="341"/>
      <c r="O149" s="341" t="s">
        <v>319</v>
      </c>
      <c r="P149" s="342"/>
      <c r="Q149" s="341"/>
      <c r="R149" s="341" t="s">
        <v>319</v>
      </c>
      <c r="S149" s="52" t="s">
        <v>320</v>
      </c>
      <c r="T149" s="52" t="s">
        <v>319</v>
      </c>
      <c r="U149" s="52" t="s">
        <v>319</v>
      </c>
      <c r="V149" s="342"/>
      <c r="W149" s="52" t="s">
        <v>319</v>
      </c>
      <c r="X149" s="52" t="s">
        <v>319</v>
      </c>
      <c r="Y149" s="52" t="s">
        <v>319</v>
      </c>
      <c r="Z149" s="52"/>
      <c r="AA149" s="53"/>
      <c r="AB149" s="58"/>
      <c r="AC149" s="58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47"/>
      <c r="AQ149" s="53">
        <f t="shared" si="44"/>
        <v>0</v>
      </c>
      <c r="AR149" s="51"/>
      <c r="AS149" s="357">
        <f t="shared" si="43"/>
        <v>0</v>
      </c>
    </row>
    <row r="150" spans="1:47" s="36" customFormat="1" ht="15.75" x14ac:dyDescent="0.25">
      <c r="A150" s="34" t="s">
        <v>586</v>
      </c>
      <c r="B150" s="35" t="s">
        <v>587</v>
      </c>
      <c r="C150" s="52" t="s">
        <v>319</v>
      </c>
      <c r="D150" s="91" t="s">
        <v>319</v>
      </c>
      <c r="E150" s="91"/>
      <c r="F150" s="52" t="s">
        <v>319</v>
      </c>
      <c r="G150" s="52" t="s">
        <v>319</v>
      </c>
      <c r="H150" s="341"/>
      <c r="I150" s="341"/>
      <c r="J150" s="341"/>
      <c r="K150" s="341"/>
      <c r="L150" s="341"/>
      <c r="M150" s="341" t="s">
        <v>319</v>
      </c>
      <c r="N150" s="341"/>
      <c r="O150" s="341" t="s">
        <v>319</v>
      </c>
      <c r="P150" s="342"/>
      <c r="Q150" s="341"/>
      <c r="R150" s="341" t="s">
        <v>319</v>
      </c>
      <c r="S150" s="52" t="s">
        <v>320</v>
      </c>
      <c r="T150" s="52" t="s">
        <v>319</v>
      </c>
      <c r="U150" s="52" t="s">
        <v>319</v>
      </c>
      <c r="V150" s="342"/>
      <c r="W150" s="52" t="s">
        <v>319</v>
      </c>
      <c r="X150" s="52" t="s">
        <v>319</v>
      </c>
      <c r="Y150" s="52" t="s">
        <v>319</v>
      </c>
      <c r="Z150" s="52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3"/>
      <c r="AP150" s="47"/>
      <c r="AQ150" s="53">
        <f t="shared" si="44"/>
        <v>0</v>
      </c>
      <c r="AR150" s="51"/>
      <c r="AS150" s="357">
        <f t="shared" si="43"/>
        <v>0</v>
      </c>
    </row>
    <row r="151" spans="1:47" s="36" customFormat="1" ht="15.75" x14ac:dyDescent="0.25">
      <c r="A151" s="34" t="s">
        <v>583</v>
      </c>
      <c r="B151" s="35" t="s">
        <v>588</v>
      </c>
      <c r="C151" s="52" t="s">
        <v>319</v>
      </c>
      <c r="D151" s="91" t="s">
        <v>319</v>
      </c>
      <c r="E151" s="91"/>
      <c r="F151" s="52" t="s">
        <v>319</v>
      </c>
      <c r="G151" s="52" t="s">
        <v>319</v>
      </c>
      <c r="H151" s="341"/>
      <c r="I151" s="341"/>
      <c r="J151" s="341"/>
      <c r="K151" s="341"/>
      <c r="L151" s="341"/>
      <c r="M151" s="341" t="s">
        <v>319</v>
      </c>
      <c r="N151" s="341"/>
      <c r="O151" s="341" t="s">
        <v>319</v>
      </c>
      <c r="P151" s="342"/>
      <c r="Q151" s="341"/>
      <c r="R151" s="341" t="s">
        <v>319</v>
      </c>
      <c r="S151" s="52" t="s">
        <v>320</v>
      </c>
      <c r="T151" s="52" t="s">
        <v>319</v>
      </c>
      <c r="U151" s="52" t="s">
        <v>319</v>
      </c>
      <c r="V151" s="342"/>
      <c r="W151" s="52" t="s">
        <v>319</v>
      </c>
      <c r="X151" s="52" t="s">
        <v>319</v>
      </c>
      <c r="Y151" s="52" t="s">
        <v>319</v>
      </c>
      <c r="Z151" s="52"/>
      <c r="AA151" s="53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3"/>
      <c r="AP151" s="47"/>
      <c r="AQ151" s="53">
        <f t="shared" si="44"/>
        <v>0</v>
      </c>
      <c r="AR151" s="51"/>
      <c r="AS151" s="357">
        <f t="shared" si="43"/>
        <v>0</v>
      </c>
      <c r="AU151" s="55"/>
    </row>
    <row r="152" spans="1:47" s="36" customFormat="1" ht="15.75" x14ac:dyDescent="0.25">
      <c r="A152" s="34" t="s">
        <v>584</v>
      </c>
      <c r="B152" s="35" t="s">
        <v>585</v>
      </c>
      <c r="C152" s="52" t="s">
        <v>319</v>
      </c>
      <c r="D152" s="91" t="s">
        <v>319</v>
      </c>
      <c r="E152" s="91"/>
      <c r="F152" s="52" t="s">
        <v>319</v>
      </c>
      <c r="G152" s="52" t="s">
        <v>319</v>
      </c>
      <c r="H152" s="341"/>
      <c r="I152" s="341"/>
      <c r="J152" s="341"/>
      <c r="K152" s="341"/>
      <c r="L152" s="341"/>
      <c r="M152" s="341" t="s">
        <v>319</v>
      </c>
      <c r="N152" s="341"/>
      <c r="O152" s="341" t="s">
        <v>319</v>
      </c>
      <c r="P152" s="342"/>
      <c r="Q152" s="341"/>
      <c r="R152" s="341" t="s">
        <v>319</v>
      </c>
      <c r="S152" s="52" t="s">
        <v>320</v>
      </c>
      <c r="T152" s="52" t="s">
        <v>319</v>
      </c>
      <c r="U152" s="52" t="s">
        <v>319</v>
      </c>
      <c r="V152" s="342"/>
      <c r="W152" s="52" t="s">
        <v>319</v>
      </c>
      <c r="X152" s="52" t="s">
        <v>319</v>
      </c>
      <c r="Y152" s="52" t="s">
        <v>319</v>
      </c>
      <c r="Z152" s="52"/>
      <c r="AA152" s="53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3"/>
      <c r="AP152" s="47"/>
      <c r="AQ152" s="53">
        <f t="shared" si="44"/>
        <v>0</v>
      </c>
      <c r="AR152" s="51"/>
      <c r="AS152" s="357">
        <f t="shared" si="43"/>
        <v>0</v>
      </c>
      <c r="AU152" s="55"/>
    </row>
    <row r="153" spans="1:47" s="36" customFormat="1" ht="15.75" x14ac:dyDescent="0.25">
      <c r="A153" s="34" t="s">
        <v>714</v>
      </c>
      <c r="B153" s="35" t="s">
        <v>715</v>
      </c>
      <c r="C153" s="52" t="s">
        <v>319</v>
      </c>
      <c r="D153" s="91" t="s">
        <v>319</v>
      </c>
      <c r="E153" s="91"/>
      <c r="F153" s="52" t="s">
        <v>319</v>
      </c>
      <c r="G153" s="52" t="s">
        <v>319</v>
      </c>
      <c r="H153" s="341"/>
      <c r="I153" s="341"/>
      <c r="J153" s="341"/>
      <c r="K153" s="341"/>
      <c r="L153" s="341"/>
      <c r="M153" s="341" t="s">
        <v>319</v>
      </c>
      <c r="N153" s="341"/>
      <c r="O153" s="341" t="s">
        <v>319</v>
      </c>
      <c r="P153" s="342"/>
      <c r="Q153" s="341"/>
      <c r="R153" s="341" t="s">
        <v>319</v>
      </c>
      <c r="S153" s="52" t="s">
        <v>320</v>
      </c>
      <c r="T153" s="52" t="s">
        <v>319</v>
      </c>
      <c r="U153" s="52" t="s">
        <v>319</v>
      </c>
      <c r="V153" s="342"/>
      <c r="W153" s="52" t="s">
        <v>319</v>
      </c>
      <c r="X153" s="52" t="s">
        <v>319</v>
      </c>
      <c r="Y153" s="52" t="s">
        <v>319</v>
      </c>
      <c r="Z153" s="52"/>
      <c r="AA153" s="53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3"/>
      <c r="AP153" s="47"/>
      <c r="AQ153" s="53">
        <f t="shared" si="44"/>
        <v>0</v>
      </c>
      <c r="AR153" s="51"/>
      <c r="AS153" s="357">
        <f t="shared" si="43"/>
        <v>0</v>
      </c>
      <c r="AU153" s="55"/>
    </row>
    <row r="154" spans="1:47" s="36" customFormat="1" ht="15.75" x14ac:dyDescent="0.25">
      <c r="A154" s="34" t="s">
        <v>589</v>
      </c>
      <c r="B154" s="35" t="s">
        <v>590</v>
      </c>
      <c r="C154" s="52" t="s">
        <v>319</v>
      </c>
      <c r="D154" s="91" t="s">
        <v>319</v>
      </c>
      <c r="E154" s="91"/>
      <c r="F154" s="52" t="s">
        <v>319</v>
      </c>
      <c r="G154" s="52" t="s">
        <v>319</v>
      </c>
      <c r="H154" s="341"/>
      <c r="I154" s="341"/>
      <c r="J154" s="341"/>
      <c r="K154" s="341"/>
      <c r="L154" s="341"/>
      <c r="M154" s="341" t="s">
        <v>319</v>
      </c>
      <c r="N154" s="341"/>
      <c r="O154" s="341" t="s">
        <v>319</v>
      </c>
      <c r="P154" s="342"/>
      <c r="Q154" s="341"/>
      <c r="R154" s="341" t="s">
        <v>319</v>
      </c>
      <c r="S154" s="52" t="s">
        <v>320</v>
      </c>
      <c r="T154" s="52" t="s">
        <v>319</v>
      </c>
      <c r="U154" s="52" t="s">
        <v>319</v>
      </c>
      <c r="V154" s="342"/>
      <c r="W154" s="52" t="s">
        <v>319</v>
      </c>
      <c r="X154" s="52" t="s">
        <v>319</v>
      </c>
      <c r="Y154" s="52" t="s">
        <v>319</v>
      </c>
      <c r="Z154" s="52"/>
      <c r="AA154" s="210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3"/>
      <c r="AP154" s="47"/>
      <c r="AQ154" s="53">
        <f t="shared" si="44"/>
        <v>0</v>
      </c>
      <c r="AR154" s="51"/>
      <c r="AS154" s="357">
        <f t="shared" si="43"/>
        <v>0</v>
      </c>
      <c r="AU154" s="55"/>
    </row>
    <row r="155" spans="1:47" s="36" customFormat="1" ht="15.75" x14ac:dyDescent="0.25">
      <c r="A155" s="34" t="s">
        <v>718</v>
      </c>
      <c r="B155" s="34" t="s">
        <v>660</v>
      </c>
      <c r="C155" s="458" t="s">
        <v>708</v>
      </c>
      <c r="D155" s="91" t="s">
        <v>402</v>
      </c>
      <c r="E155" s="395"/>
      <c r="F155" s="459" t="s">
        <v>876</v>
      </c>
      <c r="G155" s="341" t="s">
        <v>877</v>
      </c>
      <c r="H155" s="341" t="s">
        <v>370</v>
      </c>
      <c r="I155" s="458" t="s">
        <v>826</v>
      </c>
      <c r="J155" s="458"/>
      <c r="K155" s="341">
        <v>44544</v>
      </c>
      <c r="L155" s="341">
        <v>44564</v>
      </c>
      <c r="M155" s="341">
        <v>44589</v>
      </c>
      <c r="N155" s="341">
        <v>44619</v>
      </c>
      <c r="O155" s="341">
        <f>M155+30</f>
        <v>44619</v>
      </c>
      <c r="P155" s="342"/>
      <c r="Q155" s="342">
        <f>N155-L155</f>
        <v>55</v>
      </c>
      <c r="R155" s="342">
        <f>O155-M155</f>
        <v>30</v>
      </c>
      <c r="S155" s="341" t="s">
        <v>320</v>
      </c>
      <c r="T155" s="341">
        <v>44613</v>
      </c>
      <c r="U155" s="341">
        <f>T155+(6*4.3*7)</f>
        <v>44793.599999999999</v>
      </c>
      <c r="V155" s="342">
        <v>5.999999999999952</v>
      </c>
      <c r="W155" s="342">
        <f>((U155-T155)/7)/4.3</f>
        <v>5.999999999999952</v>
      </c>
      <c r="X155" s="342"/>
      <c r="Y155" s="342"/>
      <c r="Z155" s="50"/>
      <c r="AA155" s="182">
        <v>2860071.9</v>
      </c>
      <c r="AB155" s="211">
        <v>269645.40000000002</v>
      </c>
      <c r="AC155" s="58"/>
      <c r="AD155" s="58"/>
      <c r="AE155" s="275">
        <v>125000</v>
      </c>
      <c r="AF155" s="275">
        <v>125000</v>
      </c>
      <c r="AG155" s="275">
        <v>125000</v>
      </c>
      <c r="AH155" s="275">
        <v>105000</v>
      </c>
      <c r="AI155" s="275"/>
      <c r="AJ155" s="275"/>
      <c r="AK155" s="275"/>
      <c r="AL155" s="58"/>
      <c r="AM155" s="58">
        <v>200000</v>
      </c>
      <c r="AN155" s="58"/>
      <c r="AO155" s="53"/>
      <c r="AP155" s="47"/>
      <c r="AQ155" s="53">
        <f>SUM(AB155:AP155)</f>
        <v>949645.4</v>
      </c>
      <c r="AR155" s="51"/>
      <c r="AS155" s="357">
        <f>AQ155-AA155</f>
        <v>-1910426.5</v>
      </c>
    </row>
    <row r="156" spans="1:47" s="36" customFormat="1" ht="15.75" x14ac:dyDescent="0.25">
      <c r="A156" s="34" t="s">
        <v>720</v>
      </c>
      <c r="B156" s="35" t="s">
        <v>721</v>
      </c>
      <c r="C156" s="52" t="s">
        <v>319</v>
      </c>
      <c r="D156" s="91" t="s">
        <v>319</v>
      </c>
      <c r="E156" s="91"/>
      <c r="F156" s="52" t="s">
        <v>319</v>
      </c>
      <c r="G156" s="52" t="s">
        <v>319</v>
      </c>
      <c r="H156" s="341" t="s">
        <v>320</v>
      </c>
      <c r="I156" s="341"/>
      <c r="J156" s="341"/>
      <c r="K156" s="341" t="s">
        <v>319</v>
      </c>
      <c r="L156" s="341"/>
      <c r="M156" s="341" t="s">
        <v>319</v>
      </c>
      <c r="N156" s="341"/>
      <c r="O156" s="341" t="s">
        <v>319</v>
      </c>
      <c r="P156" s="342"/>
      <c r="Q156" s="341"/>
      <c r="R156" s="341" t="s">
        <v>319</v>
      </c>
      <c r="S156" s="52" t="s">
        <v>320</v>
      </c>
      <c r="T156" s="52" t="s">
        <v>319</v>
      </c>
      <c r="U156" s="52" t="s">
        <v>319</v>
      </c>
      <c r="V156" s="342"/>
      <c r="W156" s="52" t="s">
        <v>319</v>
      </c>
      <c r="X156" s="52" t="s">
        <v>319</v>
      </c>
      <c r="Y156" s="52" t="s">
        <v>319</v>
      </c>
      <c r="Z156" s="52"/>
      <c r="AA156" s="53">
        <v>0</v>
      </c>
      <c r="AB156" s="53"/>
      <c r="AC156" s="58"/>
      <c r="AD156" s="58"/>
      <c r="AE156" s="275"/>
      <c r="AF156" s="275"/>
      <c r="AG156" s="275"/>
      <c r="AH156" s="275"/>
      <c r="AI156" s="275"/>
      <c r="AJ156" s="275"/>
      <c r="AK156" s="275"/>
      <c r="AL156" s="275"/>
      <c r="AM156" s="275"/>
      <c r="AN156" s="275"/>
      <c r="AO156" s="53"/>
      <c r="AP156" s="47"/>
      <c r="AQ156" s="53"/>
      <c r="AR156" s="51"/>
      <c r="AS156" s="357">
        <f t="shared" si="43"/>
        <v>0</v>
      </c>
      <c r="AU156" s="55"/>
    </row>
    <row r="157" spans="1:47" s="36" customFormat="1" ht="15.75" x14ac:dyDescent="0.25">
      <c r="A157" s="34" t="s">
        <v>722</v>
      </c>
      <c r="B157" s="35" t="s">
        <v>723</v>
      </c>
      <c r="C157" s="52" t="s">
        <v>319</v>
      </c>
      <c r="D157" s="91" t="s">
        <v>319</v>
      </c>
      <c r="E157" s="91"/>
      <c r="F157" s="52" t="s">
        <v>319</v>
      </c>
      <c r="G157" s="52" t="s">
        <v>319</v>
      </c>
      <c r="H157" s="341"/>
      <c r="I157" s="341"/>
      <c r="J157" s="341"/>
      <c r="K157" s="341"/>
      <c r="L157" s="341"/>
      <c r="M157" s="341" t="s">
        <v>319</v>
      </c>
      <c r="N157" s="341"/>
      <c r="O157" s="341" t="s">
        <v>319</v>
      </c>
      <c r="P157" s="342"/>
      <c r="Q157" s="341"/>
      <c r="R157" s="341" t="s">
        <v>319</v>
      </c>
      <c r="S157" s="52" t="s">
        <v>320</v>
      </c>
      <c r="T157" s="52" t="s">
        <v>319</v>
      </c>
      <c r="U157" s="52" t="s">
        <v>319</v>
      </c>
      <c r="V157" s="342"/>
      <c r="W157" s="52" t="s">
        <v>319</v>
      </c>
      <c r="X157" s="52" t="s">
        <v>319</v>
      </c>
      <c r="Y157" s="52" t="s">
        <v>319</v>
      </c>
      <c r="Z157" s="52"/>
      <c r="AA157" s="53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3"/>
      <c r="AP157" s="47"/>
      <c r="AQ157" s="53">
        <f t="shared" ref="AQ157:AQ164" si="45">SUM(AB157:AP157)</f>
        <v>0</v>
      </c>
      <c r="AR157" s="51"/>
      <c r="AS157" s="357">
        <f t="shared" si="43"/>
        <v>0</v>
      </c>
      <c r="AU157" s="55"/>
    </row>
    <row r="158" spans="1:47" s="36" customFormat="1" ht="15.75" x14ac:dyDescent="0.25">
      <c r="A158" s="34" t="s">
        <v>728</v>
      </c>
      <c r="B158" s="35" t="s">
        <v>731</v>
      </c>
      <c r="C158" s="52" t="s">
        <v>319</v>
      </c>
      <c r="D158" s="91" t="s">
        <v>319</v>
      </c>
      <c r="E158" s="91"/>
      <c r="F158" s="52" t="s">
        <v>319</v>
      </c>
      <c r="G158" s="52" t="s">
        <v>319</v>
      </c>
      <c r="H158" s="341"/>
      <c r="I158" s="341"/>
      <c r="J158" s="341"/>
      <c r="K158" s="341"/>
      <c r="L158" s="341"/>
      <c r="M158" s="341" t="s">
        <v>319</v>
      </c>
      <c r="N158" s="341"/>
      <c r="O158" s="341" t="s">
        <v>319</v>
      </c>
      <c r="P158" s="342"/>
      <c r="Q158" s="341"/>
      <c r="R158" s="341" t="s">
        <v>319</v>
      </c>
      <c r="S158" s="52" t="s">
        <v>320</v>
      </c>
      <c r="T158" s="52" t="s">
        <v>319</v>
      </c>
      <c r="U158" s="52" t="s">
        <v>319</v>
      </c>
      <c r="V158" s="342"/>
      <c r="W158" s="52" t="s">
        <v>319</v>
      </c>
      <c r="X158" s="52" t="s">
        <v>319</v>
      </c>
      <c r="Y158" s="52" t="s">
        <v>319</v>
      </c>
      <c r="Z158" s="52"/>
      <c r="AA158" s="53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3"/>
      <c r="AP158" s="47"/>
      <c r="AQ158" s="53">
        <f t="shared" si="45"/>
        <v>0</v>
      </c>
      <c r="AR158" s="51"/>
      <c r="AS158" s="357">
        <f t="shared" si="43"/>
        <v>0</v>
      </c>
    </row>
    <row r="159" spans="1:47" s="36" customFormat="1" ht="15.75" x14ac:dyDescent="0.25">
      <c r="A159" s="34" t="s">
        <v>210</v>
      </c>
      <c r="B159" s="35" t="s">
        <v>211</v>
      </c>
      <c r="C159" s="52" t="s">
        <v>165</v>
      </c>
      <c r="D159" s="91" t="s">
        <v>165</v>
      </c>
      <c r="E159" s="91"/>
      <c r="F159" s="52" t="s">
        <v>165</v>
      </c>
      <c r="G159" s="52" t="s">
        <v>165</v>
      </c>
      <c r="H159" s="341"/>
      <c r="I159" s="341"/>
      <c r="J159" s="341"/>
      <c r="K159" s="341"/>
      <c r="L159" s="341"/>
      <c r="M159" s="341" t="s">
        <v>165</v>
      </c>
      <c r="N159" s="341"/>
      <c r="O159" s="341" t="s">
        <v>165</v>
      </c>
      <c r="P159" s="342"/>
      <c r="Q159" s="341"/>
      <c r="R159" s="341" t="s">
        <v>165</v>
      </c>
      <c r="S159" s="52" t="s">
        <v>320</v>
      </c>
      <c r="T159" s="52" t="s">
        <v>165</v>
      </c>
      <c r="U159" s="52" t="s">
        <v>165</v>
      </c>
      <c r="V159" s="342"/>
      <c r="W159" s="52" t="s">
        <v>165</v>
      </c>
      <c r="X159" s="52" t="s">
        <v>165</v>
      </c>
      <c r="Y159" s="52" t="s">
        <v>165</v>
      </c>
      <c r="Z159" s="52"/>
      <c r="AA159" s="86"/>
      <c r="AB159" s="58"/>
      <c r="AC159" s="58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47"/>
      <c r="AQ159" s="53">
        <f t="shared" si="45"/>
        <v>0</v>
      </c>
      <c r="AR159" s="51"/>
      <c r="AS159" s="357">
        <f t="shared" si="43"/>
        <v>0</v>
      </c>
    </row>
    <row r="160" spans="1:47" s="36" customFormat="1" ht="15.75" x14ac:dyDescent="0.25">
      <c r="A160" s="34" t="s">
        <v>475</v>
      </c>
      <c r="B160" s="35" t="s">
        <v>655</v>
      </c>
      <c r="C160" s="52" t="s">
        <v>165</v>
      </c>
      <c r="D160" s="91" t="s">
        <v>165</v>
      </c>
      <c r="E160" s="91"/>
      <c r="F160" s="52" t="s">
        <v>165</v>
      </c>
      <c r="G160" s="52" t="s">
        <v>165</v>
      </c>
      <c r="H160" s="341" t="s">
        <v>320</v>
      </c>
      <c r="I160" s="341"/>
      <c r="J160" s="341"/>
      <c r="K160" s="341" t="s">
        <v>319</v>
      </c>
      <c r="L160" s="341" t="s">
        <v>319</v>
      </c>
      <c r="M160" s="341" t="s">
        <v>319</v>
      </c>
      <c r="N160" s="341" t="s">
        <v>319</v>
      </c>
      <c r="O160" s="341" t="s">
        <v>319</v>
      </c>
      <c r="P160" s="342"/>
      <c r="Q160" s="341" t="s">
        <v>319</v>
      </c>
      <c r="R160" s="341" t="s">
        <v>319</v>
      </c>
      <c r="S160" s="52" t="s">
        <v>320</v>
      </c>
      <c r="T160" s="52" t="s">
        <v>319</v>
      </c>
      <c r="U160" s="52" t="s">
        <v>319</v>
      </c>
      <c r="V160" s="50" t="s">
        <v>319</v>
      </c>
      <c r="W160" s="52" t="s">
        <v>319</v>
      </c>
      <c r="X160" s="52" t="s">
        <v>319</v>
      </c>
      <c r="Y160" s="52" t="s">
        <v>319</v>
      </c>
      <c r="Z160" s="52"/>
      <c r="AA160" s="53"/>
      <c r="AB160" s="53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3"/>
      <c r="AP160" s="47"/>
      <c r="AQ160" s="53">
        <f t="shared" si="45"/>
        <v>0</v>
      </c>
      <c r="AR160" s="51"/>
      <c r="AS160" s="357">
        <f t="shared" si="43"/>
        <v>0</v>
      </c>
    </row>
    <row r="161" spans="1:45" s="36" customFormat="1" ht="15.75" x14ac:dyDescent="0.25">
      <c r="A161" s="34" t="s">
        <v>398</v>
      </c>
      <c r="B161" s="34" t="s">
        <v>703</v>
      </c>
      <c r="C161" s="394" t="s">
        <v>664</v>
      </c>
      <c r="D161" s="91" t="s">
        <v>45</v>
      </c>
      <c r="E161" s="395"/>
      <c r="F161" s="390" t="s">
        <v>702</v>
      </c>
      <c r="G161" s="52" t="s">
        <v>623</v>
      </c>
      <c r="H161" s="341" t="s">
        <v>320</v>
      </c>
      <c r="I161" s="458" t="s">
        <v>834</v>
      </c>
      <c r="J161" s="458"/>
      <c r="K161" s="341">
        <v>44592</v>
      </c>
      <c r="L161" s="341"/>
      <c r="M161" s="341" t="s">
        <v>319</v>
      </c>
      <c r="N161" s="341" t="s">
        <v>319</v>
      </c>
      <c r="O161" s="341" t="s">
        <v>319</v>
      </c>
      <c r="P161" s="342"/>
      <c r="Q161" s="341" t="s">
        <v>319</v>
      </c>
      <c r="R161" s="341" t="s">
        <v>319</v>
      </c>
      <c r="S161" s="52" t="s">
        <v>320</v>
      </c>
      <c r="T161" s="52" t="s">
        <v>319</v>
      </c>
      <c r="U161" s="52" t="s">
        <v>319</v>
      </c>
      <c r="V161" s="50" t="s">
        <v>319</v>
      </c>
      <c r="W161" s="52" t="s">
        <v>319</v>
      </c>
      <c r="X161" s="52" t="s">
        <v>319</v>
      </c>
      <c r="Y161" s="52" t="s">
        <v>319</v>
      </c>
      <c r="Z161" s="52"/>
      <c r="AA161" s="53">
        <v>2400000</v>
      </c>
      <c r="AB161" s="53"/>
      <c r="AC161" s="58"/>
      <c r="AD161" s="58"/>
      <c r="AE161" s="58"/>
      <c r="AF161" s="58"/>
      <c r="AG161" s="58"/>
      <c r="AH161" s="275">
        <v>250000</v>
      </c>
      <c r="AI161" s="275">
        <v>250000</v>
      </c>
      <c r="AJ161" s="275">
        <v>250000</v>
      </c>
      <c r="AK161" s="275">
        <v>250000</v>
      </c>
      <c r="AL161" s="275">
        <v>250000</v>
      </c>
      <c r="AM161" s="275">
        <v>250000</v>
      </c>
      <c r="AN161" s="275">
        <v>250000</v>
      </c>
      <c r="AO161" s="275">
        <f>125000+525000</f>
        <v>650000</v>
      </c>
      <c r="AP161" s="47"/>
      <c r="AQ161" s="53">
        <f t="shared" si="45"/>
        <v>2400000</v>
      </c>
      <c r="AR161" s="51"/>
      <c r="AS161" s="357">
        <f t="shared" si="43"/>
        <v>0</v>
      </c>
    </row>
    <row r="162" spans="1:45" s="36" customFormat="1" ht="15.75" x14ac:dyDescent="0.25">
      <c r="A162" s="64" t="s">
        <v>337</v>
      </c>
      <c r="B162" s="65" t="s">
        <v>422</v>
      </c>
      <c r="C162" s="52" t="s">
        <v>319</v>
      </c>
      <c r="D162" s="91" t="s">
        <v>319</v>
      </c>
      <c r="E162" s="91"/>
      <c r="F162" s="52" t="s">
        <v>319</v>
      </c>
      <c r="G162" s="52" t="s">
        <v>319</v>
      </c>
      <c r="H162" s="341"/>
      <c r="I162" s="341"/>
      <c r="J162" s="341"/>
      <c r="K162" s="341"/>
      <c r="L162" s="341"/>
      <c r="M162" s="341" t="s">
        <v>319</v>
      </c>
      <c r="N162" s="341"/>
      <c r="O162" s="341" t="s">
        <v>319</v>
      </c>
      <c r="P162" s="342"/>
      <c r="Q162" s="341"/>
      <c r="R162" s="341" t="s">
        <v>319</v>
      </c>
      <c r="S162" s="52" t="s">
        <v>320</v>
      </c>
      <c r="T162" s="52" t="s">
        <v>319</v>
      </c>
      <c r="U162" s="52" t="s">
        <v>319</v>
      </c>
      <c r="V162" s="342"/>
      <c r="W162" s="52" t="s">
        <v>319</v>
      </c>
      <c r="X162" s="52" t="s">
        <v>319</v>
      </c>
      <c r="Y162" s="52" t="s">
        <v>319</v>
      </c>
      <c r="Z162" s="52"/>
      <c r="AA162" s="181">
        <v>37392</v>
      </c>
      <c r="AB162" s="58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47"/>
      <c r="AQ162" s="53">
        <f t="shared" si="45"/>
        <v>0</v>
      </c>
      <c r="AR162" s="51"/>
      <c r="AS162" s="357">
        <f t="shared" si="43"/>
        <v>-37392</v>
      </c>
    </row>
    <row r="163" spans="1:45" s="36" customFormat="1" ht="15.75" x14ac:dyDescent="0.25">
      <c r="A163" s="183" t="s">
        <v>340</v>
      </c>
      <c r="B163" s="56" t="s">
        <v>429</v>
      </c>
      <c r="C163" s="52" t="s">
        <v>319</v>
      </c>
      <c r="D163" s="91" t="s">
        <v>319</v>
      </c>
      <c r="E163" s="91"/>
      <c r="F163" s="52" t="s">
        <v>319</v>
      </c>
      <c r="G163" s="52" t="s">
        <v>319</v>
      </c>
      <c r="H163" s="341"/>
      <c r="I163" s="341"/>
      <c r="J163" s="341"/>
      <c r="K163" s="341"/>
      <c r="L163" s="341"/>
      <c r="M163" s="341" t="s">
        <v>319</v>
      </c>
      <c r="N163" s="341"/>
      <c r="O163" s="341" t="s">
        <v>319</v>
      </c>
      <c r="P163" s="342"/>
      <c r="Q163" s="341"/>
      <c r="R163" s="341" t="s">
        <v>319</v>
      </c>
      <c r="S163" s="52" t="s">
        <v>320</v>
      </c>
      <c r="T163" s="52" t="s">
        <v>319</v>
      </c>
      <c r="U163" s="52" t="s">
        <v>319</v>
      </c>
      <c r="V163" s="342"/>
      <c r="W163" s="52" t="s">
        <v>319</v>
      </c>
      <c r="X163" s="52" t="s">
        <v>319</v>
      </c>
      <c r="Y163" s="52" t="s">
        <v>319</v>
      </c>
      <c r="Z163" s="52"/>
      <c r="AA163" s="182">
        <v>3575</v>
      </c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3"/>
      <c r="AP163" s="47"/>
      <c r="AQ163" s="53">
        <f t="shared" si="45"/>
        <v>0</v>
      </c>
      <c r="AR163" s="51"/>
      <c r="AS163" s="357">
        <f t="shared" si="43"/>
        <v>-3575</v>
      </c>
    </row>
    <row r="164" spans="1:45" s="36" customFormat="1" ht="15.75" x14ac:dyDescent="0.25">
      <c r="A164" s="93"/>
      <c r="B164" s="94"/>
      <c r="C164" s="91"/>
      <c r="D164" s="91"/>
      <c r="E164" s="436"/>
      <c r="F164" s="94"/>
      <c r="G164" s="91"/>
      <c r="H164" s="91"/>
      <c r="I164" s="436"/>
      <c r="J164" s="436"/>
      <c r="K164" s="91"/>
      <c r="L164" s="91"/>
      <c r="M164" s="91"/>
      <c r="N164" s="91"/>
      <c r="O164" s="91"/>
      <c r="P164" s="92"/>
      <c r="Q164" s="91"/>
      <c r="R164" s="92"/>
      <c r="S164" s="91"/>
      <c r="T164" s="91"/>
      <c r="U164" s="91"/>
      <c r="V164" s="92"/>
      <c r="W164" s="92"/>
      <c r="X164" s="92"/>
      <c r="Y164" s="92"/>
      <c r="Z164" s="92"/>
      <c r="AA164" s="243">
        <f t="shared" ref="AA164:AO164" si="46">SUM(AA133:AA163)</f>
        <v>6157896.9000000004</v>
      </c>
      <c r="AB164" s="243"/>
      <c r="AC164" s="243">
        <f t="shared" si="46"/>
        <v>0</v>
      </c>
      <c r="AD164" s="243">
        <f t="shared" si="46"/>
        <v>0</v>
      </c>
      <c r="AE164" s="243">
        <f t="shared" si="46"/>
        <v>125000</v>
      </c>
      <c r="AF164" s="243">
        <f t="shared" si="46"/>
        <v>125000</v>
      </c>
      <c r="AG164" s="243">
        <f t="shared" si="46"/>
        <v>125000</v>
      </c>
      <c r="AH164" s="243">
        <f t="shared" si="46"/>
        <v>355000</v>
      </c>
      <c r="AI164" s="243">
        <f t="shared" si="46"/>
        <v>250000</v>
      </c>
      <c r="AJ164" s="243">
        <f t="shared" si="46"/>
        <v>250000</v>
      </c>
      <c r="AK164" s="243">
        <f t="shared" si="46"/>
        <v>250000</v>
      </c>
      <c r="AL164" s="243">
        <f t="shared" si="46"/>
        <v>250000</v>
      </c>
      <c r="AM164" s="243">
        <f t="shared" si="46"/>
        <v>450000</v>
      </c>
      <c r="AN164" s="243">
        <f t="shared" si="46"/>
        <v>250000</v>
      </c>
      <c r="AO164" s="243">
        <f t="shared" si="46"/>
        <v>650000</v>
      </c>
      <c r="AP164" s="47"/>
      <c r="AQ164" s="53">
        <f t="shared" si="45"/>
        <v>3080000</v>
      </c>
      <c r="AR164" s="51"/>
      <c r="AS164" s="357">
        <f t="shared" si="43"/>
        <v>-3077896.9000000004</v>
      </c>
    </row>
    <row r="165" spans="1:45" s="78" customFormat="1" ht="15.75" x14ac:dyDescent="0.25">
      <c r="A165"/>
      <c r="B165"/>
      <c r="C165" s="74"/>
      <c r="D165" s="91"/>
      <c r="E165" s="507"/>
      <c r="F165"/>
      <c r="G165" s="74"/>
      <c r="H165" s="74"/>
      <c r="I165" s="74"/>
      <c r="J165" s="74"/>
      <c r="K165" s="74"/>
      <c r="L165" s="74"/>
      <c r="M165" s="295"/>
      <c r="N165" s="295"/>
      <c r="O165" s="295"/>
      <c r="P165" s="296"/>
      <c r="Q165" s="295"/>
      <c r="R165" s="296"/>
      <c r="S165" s="74"/>
      <c r="T165" s="74"/>
      <c r="U165" s="74"/>
      <c r="V165" s="296"/>
      <c r="W165" s="38"/>
      <c r="X165" s="38"/>
      <c r="Y165" s="38"/>
      <c r="Z165" s="38"/>
      <c r="AB165" s="278"/>
      <c r="AC165" s="278"/>
      <c r="AD165" s="278"/>
      <c r="AE165" s="278"/>
      <c r="AF165" s="278"/>
      <c r="AG165" s="278"/>
      <c r="AH165" s="278"/>
      <c r="AI165" s="278"/>
      <c r="AJ165" s="278"/>
      <c r="AK165" s="278"/>
      <c r="AL165" s="278"/>
      <c r="AM165" s="278"/>
      <c r="AN165" s="278"/>
      <c r="AO165" s="130"/>
      <c r="AP165" s="47"/>
      <c r="AR165" s="79"/>
      <c r="AS165" s="361"/>
    </row>
    <row r="166" spans="1:45" s="78" customFormat="1" ht="15.75" x14ac:dyDescent="0.25">
      <c r="A166"/>
      <c r="B166"/>
      <c r="C166" s="74"/>
      <c r="D166" s="91"/>
      <c r="E166" s="507"/>
      <c r="F166"/>
      <c r="G166" s="74"/>
      <c r="H166" s="74"/>
      <c r="I166" s="74"/>
      <c r="J166" s="74"/>
      <c r="K166" s="74"/>
      <c r="L166" s="74"/>
      <c r="M166" s="295"/>
      <c r="N166" s="295"/>
      <c r="O166" s="295"/>
      <c r="P166" s="296"/>
      <c r="Q166" s="295"/>
      <c r="R166" s="296"/>
      <c r="S166" s="74"/>
      <c r="T166" s="74"/>
      <c r="U166" s="74"/>
      <c r="V166" s="296"/>
      <c r="W166" s="38"/>
      <c r="X166" s="38"/>
      <c r="Y166" s="38"/>
      <c r="Z166" s="38"/>
      <c r="AB166" s="277"/>
      <c r="AC166" s="277"/>
      <c r="AD166" s="277"/>
      <c r="AE166" s="277"/>
      <c r="AF166" s="277"/>
      <c r="AG166" s="277"/>
      <c r="AH166" s="277"/>
      <c r="AI166" s="277"/>
      <c r="AJ166" s="277"/>
      <c r="AK166" s="277"/>
      <c r="AL166" s="277"/>
      <c r="AM166" s="277"/>
      <c r="AN166" s="277"/>
      <c r="AP166" s="47"/>
      <c r="AR166" s="79"/>
      <c r="AS166" s="361"/>
    </row>
    <row r="167" spans="1:45" s="78" customFormat="1" ht="15.75" x14ac:dyDescent="0.25">
      <c r="A167"/>
      <c r="B167"/>
      <c r="C167" s="74"/>
      <c r="D167" s="91"/>
      <c r="E167" s="507"/>
      <c r="F167"/>
      <c r="G167" s="74"/>
      <c r="H167" s="74"/>
      <c r="I167" s="74"/>
      <c r="J167" s="74"/>
      <c r="K167" s="74"/>
      <c r="L167" s="74"/>
      <c r="M167" s="295"/>
      <c r="N167" s="295"/>
      <c r="O167" s="295"/>
      <c r="P167" s="296"/>
      <c r="Q167" s="295"/>
      <c r="R167" s="296"/>
      <c r="S167" s="74"/>
      <c r="T167" s="74"/>
      <c r="U167" s="74"/>
      <c r="V167" s="296"/>
      <c r="W167" s="38"/>
      <c r="X167" s="38"/>
      <c r="Y167" s="38"/>
      <c r="Z167" s="38"/>
      <c r="AB167" s="277"/>
      <c r="AC167" s="277"/>
      <c r="AD167" s="277"/>
      <c r="AE167" s="277"/>
      <c r="AF167" s="277"/>
      <c r="AG167" s="277"/>
      <c r="AH167" s="277"/>
      <c r="AI167" s="277"/>
      <c r="AJ167" s="277"/>
      <c r="AK167" s="277"/>
      <c r="AL167" s="277"/>
      <c r="AM167" s="277"/>
      <c r="AN167" s="277"/>
      <c r="AP167" s="47"/>
      <c r="AR167" s="79"/>
      <c r="AS167" s="361"/>
    </row>
    <row r="168" spans="1:45" s="78" customFormat="1" ht="15.75" x14ac:dyDescent="0.25">
      <c r="A168"/>
      <c r="B168"/>
      <c r="C168" s="74"/>
      <c r="D168" s="91"/>
      <c r="E168" s="507"/>
      <c r="F168"/>
      <c r="G168" s="74"/>
      <c r="H168" s="74"/>
      <c r="I168" s="74"/>
      <c r="J168" s="74"/>
      <c r="K168" s="74"/>
      <c r="L168" s="74"/>
      <c r="M168" s="295"/>
      <c r="N168" s="295"/>
      <c r="O168" s="295"/>
      <c r="P168" s="296"/>
      <c r="Q168" s="295"/>
      <c r="R168" s="296"/>
      <c r="S168" s="74"/>
      <c r="T168" s="74"/>
      <c r="U168" s="74"/>
      <c r="V168" s="296"/>
      <c r="W168" s="38"/>
      <c r="X168" s="38"/>
      <c r="Y168" s="38"/>
      <c r="Z168" s="38"/>
      <c r="AB168" s="277"/>
      <c r="AC168" s="277"/>
      <c r="AD168" s="277"/>
      <c r="AE168" s="277"/>
      <c r="AF168" s="277"/>
      <c r="AG168" s="277"/>
      <c r="AH168" s="277"/>
      <c r="AI168" s="277"/>
      <c r="AJ168" s="277"/>
      <c r="AK168" s="277"/>
      <c r="AL168" s="277"/>
      <c r="AM168" s="277"/>
      <c r="AN168" s="277"/>
      <c r="AP168" s="47"/>
      <c r="AR168" s="79"/>
      <c r="AS168" s="361"/>
    </row>
    <row r="169" spans="1:45" s="78" customFormat="1" ht="15.75" x14ac:dyDescent="0.25">
      <c r="A169"/>
      <c r="B169"/>
      <c r="C169" s="74"/>
      <c r="D169" s="91"/>
      <c r="E169" s="507"/>
      <c r="F169"/>
      <c r="G169" s="74"/>
      <c r="H169" s="74"/>
      <c r="I169" s="74"/>
      <c r="J169" s="74"/>
      <c r="K169" s="74"/>
      <c r="L169" s="74"/>
      <c r="M169" s="295"/>
      <c r="N169" s="295"/>
      <c r="O169" s="295"/>
      <c r="P169" s="296"/>
      <c r="Q169" s="295"/>
      <c r="R169" s="296"/>
      <c r="S169" s="74"/>
      <c r="T169" s="74"/>
      <c r="U169" s="74"/>
      <c r="V169" s="296"/>
      <c r="W169" s="38"/>
      <c r="X169" s="38"/>
      <c r="Y169" s="38"/>
      <c r="Z169" s="38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7"/>
      <c r="AM169" s="277"/>
      <c r="AN169" s="277"/>
      <c r="AP169" s="47"/>
      <c r="AR169" s="79"/>
      <c r="AS169" s="361"/>
    </row>
    <row r="170" spans="1:45" s="78" customFormat="1" ht="15.75" x14ac:dyDescent="0.25">
      <c r="A170"/>
      <c r="B170"/>
      <c r="C170" s="74"/>
      <c r="D170" s="91"/>
      <c r="E170" s="507"/>
      <c r="F170"/>
      <c r="G170" s="74"/>
      <c r="H170" s="74"/>
      <c r="I170" s="74"/>
      <c r="J170" s="74"/>
      <c r="K170" s="74"/>
      <c r="L170" s="74"/>
      <c r="M170" s="295"/>
      <c r="N170" s="295"/>
      <c r="O170" s="295"/>
      <c r="P170" s="296"/>
      <c r="Q170" s="295"/>
      <c r="R170" s="296"/>
      <c r="S170" s="74"/>
      <c r="T170" s="74"/>
      <c r="U170" s="74"/>
      <c r="V170" s="296"/>
      <c r="W170" s="38"/>
      <c r="X170" s="38"/>
      <c r="Y170" s="38"/>
      <c r="Z170" s="38"/>
      <c r="AB170" s="277"/>
      <c r="AC170" s="277"/>
      <c r="AD170" s="277"/>
      <c r="AE170" s="277"/>
      <c r="AF170" s="277"/>
      <c r="AG170" s="277"/>
      <c r="AH170" s="277"/>
      <c r="AI170" s="277"/>
      <c r="AJ170" s="277"/>
      <c r="AK170" s="277"/>
      <c r="AL170" s="277"/>
      <c r="AM170" s="277"/>
      <c r="AN170" s="277"/>
      <c r="AP170" s="47"/>
      <c r="AR170" s="79"/>
      <c r="AS170" s="361"/>
    </row>
    <row r="171" spans="1:45" s="78" customFormat="1" x14ac:dyDescent="0.25">
      <c r="A171"/>
      <c r="B171"/>
      <c r="C171" s="74"/>
      <c r="D171" s="91"/>
      <c r="E171" s="507"/>
      <c r="F171"/>
      <c r="G171" s="74"/>
      <c r="H171" s="74"/>
      <c r="I171" s="74"/>
      <c r="J171" s="74"/>
      <c r="K171" s="74"/>
      <c r="L171" s="74"/>
      <c r="M171" s="295"/>
      <c r="N171" s="295"/>
      <c r="O171" s="295"/>
      <c r="P171" s="296"/>
      <c r="Q171" s="295"/>
      <c r="R171" s="296"/>
      <c r="S171" s="74"/>
      <c r="T171" s="74"/>
      <c r="U171" s="74"/>
      <c r="V171" s="296"/>
      <c r="W171" s="38"/>
      <c r="X171" s="38"/>
      <c r="Y171" s="38"/>
      <c r="Z171" s="38"/>
      <c r="AB171" s="277"/>
      <c r="AC171" s="277"/>
      <c r="AD171" s="277"/>
      <c r="AE171" s="277"/>
      <c r="AF171" s="277"/>
      <c r="AG171" s="277"/>
      <c r="AH171" s="277"/>
      <c r="AI171" s="277"/>
      <c r="AJ171" s="277"/>
      <c r="AK171" s="277"/>
      <c r="AL171" s="277"/>
      <c r="AM171" s="277"/>
      <c r="AN171" s="277"/>
      <c r="AP171" s="79"/>
      <c r="AR171" s="79"/>
      <c r="AS171" s="361"/>
    </row>
    <row r="172" spans="1:45" s="78" customFormat="1" x14ac:dyDescent="0.25">
      <c r="A172"/>
      <c r="B172"/>
      <c r="C172" s="74"/>
      <c r="D172" s="91"/>
      <c r="E172" s="507"/>
      <c r="F172"/>
      <c r="G172" s="74"/>
      <c r="H172" s="74"/>
      <c r="I172" s="74"/>
      <c r="J172" s="74"/>
      <c r="K172" s="74"/>
      <c r="L172" s="74"/>
      <c r="M172" s="295"/>
      <c r="N172" s="295"/>
      <c r="O172" s="295"/>
      <c r="P172" s="296"/>
      <c r="Q172" s="295"/>
      <c r="R172" s="296"/>
      <c r="S172" s="74"/>
      <c r="T172" s="74"/>
      <c r="U172" s="74"/>
      <c r="V172" s="296"/>
      <c r="W172" s="38"/>
      <c r="X172" s="38"/>
      <c r="Y172" s="38"/>
      <c r="Z172" s="38"/>
      <c r="AB172" s="277"/>
      <c r="AC172" s="277"/>
      <c r="AD172" s="277"/>
      <c r="AE172" s="277"/>
      <c r="AF172" s="277"/>
      <c r="AG172" s="277"/>
      <c r="AH172" s="277"/>
      <c r="AI172" s="277"/>
      <c r="AJ172" s="277"/>
      <c r="AK172" s="277"/>
      <c r="AL172" s="277"/>
      <c r="AM172" s="277"/>
      <c r="AN172" s="277"/>
      <c r="AP172" s="79"/>
      <c r="AR172" s="79"/>
      <c r="AS172" s="361"/>
    </row>
  </sheetData>
  <protectedRanges>
    <protectedRange algorithmName="SHA-512" hashValue="p1zaDFJkdjN+AnmfzFBjbFKRbWYOQQg+cT1DzqDhOzloqO83qQsI/t5kPN30lmEEP3guKkM4uc2fEPeaztRBYA==" saltValue="+Rl2QHA+Wv31lMWEuJdOoQ==" spinCount="100000" sqref="L24:P24" name="Nolan_21"/>
    <protectedRange algorithmName="SHA-512" hashValue="7kKMQlnDQnaF2pWl7cOum7Q4v5K+/RuncQjNwOX/9VMC6IpRzPVvdGKHyOugwdH0ncs0E84+2rLp7ry6I8ErdA==" saltValue="jtLfJTgX02XzBGTPnDDc1A==" spinCount="100000" sqref="F68" name="Peggy_1"/>
    <protectedRange algorithmName="SHA-512" hashValue="p1zaDFJkdjN+AnmfzFBjbFKRbWYOQQg+cT1DzqDhOzloqO83qQsI/t5kPN30lmEEP3guKkM4uc2fEPeaztRBYA==" saltValue="+Rl2QHA+Wv31lMWEuJdOoQ==" spinCount="100000" sqref="L68:O68 M69:M70 Q68" name="Nolan"/>
    <protectedRange algorithmName="SHA-512" hashValue="7kKMQlnDQnaF2pWl7cOum7Q4v5K+/RuncQjNwOX/9VMC6IpRzPVvdGKHyOugwdH0ncs0E84+2rLp7ry6I8ErdA==" saltValue="jtLfJTgX02XzBGTPnDDc1A==" spinCount="100000" sqref="F69" name="Peggy_3"/>
    <protectedRange algorithmName="SHA-512" hashValue="p1zaDFJkdjN+AnmfzFBjbFKRbWYOQQg+cT1DzqDhOzloqO83qQsI/t5kPN30lmEEP3guKkM4uc2fEPeaztRBYA==" saltValue="+Rl2QHA+Wv31lMWEuJdOoQ==" spinCount="100000" sqref="L69 N69:O69 Q69" name="Nolan_2"/>
    <protectedRange algorithmName="SHA-512" hashValue="p1zaDFJkdjN+AnmfzFBjbFKRbWYOQQg+cT1DzqDhOzloqO83qQsI/t5kPN30lmEEP3guKkM4uc2fEPeaztRBYA==" saltValue="+Rl2QHA+Wv31lMWEuJdOoQ==" spinCount="100000" sqref="M6:Q6" name="Nolan_13_1"/>
    <protectedRange algorithmName="SHA-512" hashValue="p1zaDFJkdjN+AnmfzFBjbFKRbWYOQQg+cT1DzqDhOzloqO83qQsI/t5kPN30lmEEP3guKkM4uc2fEPeaztRBYA==" saltValue="+Rl2QHA+Wv31lMWEuJdOoQ==" spinCount="100000" sqref="O22:P22 O41:P41" name="Nolan_3"/>
  </protectedRanges>
  <autoFilter ref="A2:AU104" xr:uid="{03440E11-61FF-4873-A9FE-40198335FF64}"/>
  <mergeCells count="1">
    <mergeCell ref="AC1:AN1"/>
  </mergeCells>
  <conditionalFormatting sqref="AQ133:AQ142 AQ145:AQ163 AQ16:AQ25 AQ27:AQ29 AQ34:AQ40 AQ42:AQ50 AQ52:AQ76 AQ79:AQ104 AQ4:AQ14 AQ31:AQ32">
    <cfRule type="cellIs" dxfId="542" priority="197" operator="lessThan">
      <formula>AA4</formula>
    </cfRule>
    <cfRule type="cellIs" dxfId="541" priority="198" operator="greaterThan">
      <formula>AA4</formula>
    </cfRule>
    <cfRule type="cellIs" dxfId="540" priority="199" operator="equal">
      <formula>AA4</formula>
    </cfRule>
  </conditionalFormatting>
  <conditionalFormatting sqref="S122:S124 S126:S129 S165:S1048576 S133:S136 S138:S163 H53:H57 H75:H76 H3:H12 H34:H39 H42:H49 S53:S76 H16:H24 S2:S51 H63:H72 S79:S116">
    <cfRule type="cellIs" dxfId="539" priority="195" operator="equal">
      <formula>"no"</formula>
    </cfRule>
    <cfRule type="cellIs" dxfId="538" priority="196" operator="equal">
      <formula>"yes"</formula>
    </cfRule>
  </conditionalFormatting>
  <conditionalFormatting sqref="AA133:AA136 AA69 AA138:AA163 AA29:AA50 AB40 AA73 AA17:AA27 AA79:AA104">
    <cfRule type="cellIs" dxfId="537" priority="194" operator="equal">
      <formula>0</formula>
    </cfRule>
  </conditionalFormatting>
  <conditionalFormatting sqref="T159:U159 T141:U141 T50:V50 T133:U138 M16:N16 W141:Z141 W159:Z159 W133:Z138 W162:Z163 T162:U163 C139:C140 C135:C136 F30:H30 S1 T160:Z161 O15:R16 M17:R17 M18:P19 G79:H80 F58:H58 F69:H70 K1:R14 F15:H15 F31:G32 F5:H5 F1:H2 F53:G57 F72:H74 K66:K71 F71:G71 K53:O58 F75:G76 F3:G4 F52 F77:F80 Q18:R34 Q52:Q82 F25:H26 F27:G29 L66:O70 O71 X50:Z50 K20:P34 K35:R51 C146:C163 C56:E56 F33:H51 N75:O76 C75:D76 E75:E78 C89:H91 C85:C88 K72:O73 C73:E74 K74:M78 M60 C92:C104 N59:O65 K59:L65 M62:M65 R53:R76 K15:L19 F16:G24 D1:E51 C3:C51 G64:G68 C83 F81:H82 C79:E82 D83:H88 R79:R82 K79:O82 P53:P82 F6:G14 K83:R1048576 G59:H63 F59:F68 D92:H1048576">
    <cfRule type="cellIs" dxfId="536" priority="193" operator="equal">
      <formula>"TBD"</formula>
    </cfRule>
  </conditionalFormatting>
  <conditionalFormatting sqref="AB109:AO109">
    <cfRule type="cellIs" dxfId="535" priority="182" operator="equal">
      <formula>0</formula>
    </cfRule>
    <cfRule type="cellIs" dxfId="534" priority="191" operator="lessThan">
      <formula>0</formula>
    </cfRule>
    <cfRule type="cellIs" dxfId="533" priority="192" operator="greaterThan">
      <formula>0</formula>
    </cfRule>
  </conditionalFormatting>
  <conditionalFormatting sqref="S117:S121">
    <cfRule type="cellIs" dxfId="532" priority="189" operator="equal">
      <formula>"no"</formula>
    </cfRule>
    <cfRule type="cellIs" dxfId="531" priority="190" operator="equal">
      <formula>"yes"</formula>
    </cfRule>
  </conditionalFormatting>
  <conditionalFormatting sqref="AB117:AB118 AB125 AB130:AB164 AS132:AS164 AS3:AS51 AS53:AS76 AS79:AS107">
    <cfRule type="cellIs" dxfId="530" priority="187" operator="lessThan">
      <formula>0</formula>
    </cfRule>
    <cfRule type="cellIs" dxfId="529" priority="188" operator="greaterThan">
      <formula>0</formula>
    </cfRule>
  </conditionalFormatting>
  <conditionalFormatting sqref="S125">
    <cfRule type="cellIs" dxfId="528" priority="185" operator="equal">
      <formula>"no"</formula>
    </cfRule>
    <cfRule type="cellIs" dxfId="527" priority="186" operator="equal">
      <formula>"yes"</formula>
    </cfRule>
  </conditionalFormatting>
  <conditionalFormatting sqref="S130:S164">
    <cfRule type="cellIs" dxfId="526" priority="183" operator="equal">
      <formula>"no"</formula>
    </cfRule>
    <cfRule type="cellIs" dxfId="525" priority="184" operator="equal">
      <formula>"yes"</formula>
    </cfRule>
  </conditionalFormatting>
  <conditionalFormatting sqref="S3:S6 S13:S14">
    <cfRule type="cellIs" dxfId="524" priority="180" operator="equal">
      <formula>"no"</formula>
    </cfRule>
    <cfRule type="cellIs" dxfId="523" priority="181" operator="equal">
      <formula>"yes"</formula>
    </cfRule>
  </conditionalFormatting>
  <conditionalFormatting sqref="K3:R6">
    <cfRule type="cellIs" dxfId="522" priority="179" operator="equal">
      <formula>"TBD"</formula>
    </cfRule>
  </conditionalFormatting>
  <conditionalFormatting sqref="AQ143">
    <cfRule type="cellIs" dxfId="521" priority="176" operator="lessThan">
      <formula>AA143</formula>
    </cfRule>
    <cfRule type="cellIs" dxfId="520" priority="177" operator="greaterThan">
      <formula>AA143</formula>
    </cfRule>
    <cfRule type="cellIs" dxfId="519" priority="178" operator="equal">
      <formula>AA143</formula>
    </cfRule>
  </conditionalFormatting>
  <conditionalFormatting sqref="G83:G85">
    <cfRule type="cellIs" dxfId="518" priority="175" operator="equal">
      <formula>"TBD"</formula>
    </cfRule>
  </conditionalFormatting>
  <conditionalFormatting sqref="S85">
    <cfRule type="cellIs" dxfId="517" priority="173" operator="equal">
      <formula>"no"</formula>
    </cfRule>
    <cfRule type="cellIs" dxfId="516" priority="174" operator="equal">
      <formula>"yes"</formula>
    </cfRule>
  </conditionalFormatting>
  <conditionalFormatting sqref="O85 R85 K85:M85">
    <cfRule type="cellIs" dxfId="515" priority="172" operator="equal">
      <formula>"TBD"</formula>
    </cfRule>
  </conditionalFormatting>
  <conditionalFormatting sqref="S13:S14">
    <cfRule type="cellIs" dxfId="514" priority="170" operator="equal">
      <formula>"no"</formula>
    </cfRule>
    <cfRule type="cellIs" dxfId="513" priority="171" operator="equal">
      <formula>"yes"</formula>
    </cfRule>
  </conditionalFormatting>
  <conditionalFormatting sqref="K3:R6">
    <cfRule type="cellIs" dxfId="512" priority="169" operator="equal">
      <formula>"TBD"</formula>
    </cfRule>
  </conditionalFormatting>
  <conditionalFormatting sqref="F63 M63 O63 Q63">
    <cfRule type="cellIs" dxfId="511" priority="168" operator="equal">
      <formula>"TBD"</formula>
    </cfRule>
  </conditionalFormatting>
  <conditionalFormatting sqref="S58">
    <cfRule type="cellIs" dxfId="510" priority="166" operator="equal">
      <formula>"no"</formula>
    </cfRule>
    <cfRule type="cellIs" dxfId="509" priority="167" operator="equal">
      <formula>"yes"</formula>
    </cfRule>
  </conditionalFormatting>
  <conditionalFormatting sqref="T50:V50 M16:N16 F138:F1048576 T133:U159 W162:Z163 T162:U163 F30:H30 G137:H1048576 S1 T160:Z161 W133:Z159 O15:R16 M17:R17 M18:P19 R79:R82 G79:H80 F58:H58 F69:H70 K1:R14 F31:G32 F5:H5 F15:H15 F72:H74 K66:K71 F71:G71 K53:O58 F75:G76 F3:G4 F52:F57 F77:F80 Q18:R34 Q52:Q82 F25:H26 F27:G29 L66:O70 O71 X50:Z50 K20:P34 K35:R51 G53:G57 F1:H2 F33:H51 N75:O76 D84:E84 C75:D76 E75:E78 K72:O73 K74:M78 M60 C53:E74 C85:E1048576 N59:O65 K59:L65 M62:M65 R53:R76 K15:L19 F16:G24 C1:E51 G64:G68 F81:H136 C79:E83 K79:O82 P53:P82 F6:G14 K83:R1048576 G59:H63 F59:F68">
    <cfRule type="containsText" dxfId="508" priority="164" operator="containsText" text="DEAD">
      <formula>NOT(ISERROR(SEARCH("DEAD",C1)))</formula>
    </cfRule>
    <cfRule type="containsText" dxfId="507" priority="165" operator="containsText" text="HOLD">
      <formula>NOT(ISERROR(SEARCH("HOLD",C1)))</formula>
    </cfRule>
  </conditionalFormatting>
  <conditionalFormatting sqref="O68 M68:M70 Q68:R68">
    <cfRule type="cellIs" dxfId="506" priority="163" operator="equal">
      <formula>"TBD"</formula>
    </cfRule>
  </conditionalFormatting>
  <conditionalFormatting sqref="M69 O69 Q69:R69">
    <cfRule type="cellIs" dxfId="505" priority="162" operator="equal">
      <formula>"TBD"</formula>
    </cfRule>
  </conditionalFormatting>
  <conditionalFormatting sqref="M59:M63 F59:F63">
    <cfRule type="cellIs" dxfId="504" priority="161" operator="equal">
      <formula>"TBD"</formula>
    </cfRule>
  </conditionalFormatting>
  <conditionalFormatting sqref="M59:M63 F59:F63">
    <cfRule type="containsText" dxfId="503" priority="159" operator="containsText" text="DEAD">
      <formula>NOT(ISERROR(SEARCH("DEAD",F59)))</formula>
    </cfRule>
    <cfRule type="containsText" dxfId="502" priority="160" operator="containsText" text="HOLD">
      <formula>NOT(ISERROR(SEARCH("HOLD",F59)))</formula>
    </cfRule>
  </conditionalFormatting>
  <conditionalFormatting sqref="S132">
    <cfRule type="cellIs" dxfId="501" priority="157" operator="equal">
      <formula>"no"</formula>
    </cfRule>
    <cfRule type="cellIs" dxfId="500" priority="158" operator="equal">
      <formula>"yes"</formula>
    </cfRule>
  </conditionalFormatting>
  <conditionalFormatting sqref="AQ164">
    <cfRule type="cellIs" dxfId="499" priority="154" operator="lessThan">
      <formula>AA164</formula>
    </cfRule>
    <cfRule type="cellIs" dxfId="498" priority="155" operator="greaterThan">
      <formula>AA164</formula>
    </cfRule>
    <cfRule type="cellIs" dxfId="497" priority="156" operator="equal">
      <formula>AA164</formula>
    </cfRule>
  </conditionalFormatting>
  <conditionalFormatting sqref="S164">
    <cfRule type="cellIs" dxfId="496" priority="152" operator="equal">
      <formula>"no"</formula>
    </cfRule>
    <cfRule type="cellIs" dxfId="495" priority="153" operator="equal">
      <formula>"yes"</formula>
    </cfRule>
  </conditionalFormatting>
  <conditionalFormatting sqref="T133:U134 T136:U141 W133:Z134 W136:Z141 F133:H136 K133:R136 F139:H141 K139:R141 C133:C141">
    <cfRule type="cellIs" dxfId="494" priority="151" operator="equal">
      <formula>"SOLD"</formula>
    </cfRule>
  </conditionalFormatting>
  <conditionalFormatting sqref="T135:U135 G137:H138 W135:Z135 M137:R137 K137:L138">
    <cfRule type="cellIs" dxfId="493" priority="150" operator="equal">
      <formula>"SOLD"</formula>
    </cfRule>
  </conditionalFormatting>
  <conditionalFormatting sqref="U163">
    <cfRule type="cellIs" dxfId="492" priority="149" operator="equal">
      <formula>"TBD"</formula>
    </cfRule>
  </conditionalFormatting>
  <conditionalFormatting sqref="T145:U145">
    <cfRule type="cellIs" dxfId="491" priority="148" operator="equal">
      <formula>"TBD"</formula>
    </cfRule>
  </conditionalFormatting>
  <conditionalFormatting sqref="T145:U145">
    <cfRule type="containsText" dxfId="490" priority="146" operator="containsText" text="DEAD">
      <formula>NOT(ISERROR(SEARCH("DEAD",T145)))</formula>
    </cfRule>
    <cfRule type="containsText" dxfId="489" priority="147" operator="containsText" text="HOLD">
      <formula>NOT(ISERROR(SEARCH("HOLD",T145)))</formula>
    </cfRule>
  </conditionalFormatting>
  <conditionalFormatting sqref="AA138">
    <cfRule type="cellIs" dxfId="488" priority="145" operator="equal">
      <formula>0</formula>
    </cfRule>
  </conditionalFormatting>
  <conditionalFormatting sqref="M15:N15">
    <cfRule type="cellIs" dxfId="487" priority="144" operator="equal">
      <formula>"TBD"</formula>
    </cfRule>
  </conditionalFormatting>
  <conditionalFormatting sqref="M15:N15">
    <cfRule type="containsText" dxfId="486" priority="142" operator="containsText" text="DEAD">
      <formula>NOT(ISERROR(SEARCH("DEAD",M15)))</formula>
    </cfRule>
    <cfRule type="containsText" dxfId="485" priority="143" operator="containsText" text="HOLD">
      <formula>NOT(ISERROR(SEARCH("HOLD",M15)))</formula>
    </cfRule>
  </conditionalFormatting>
  <conditionalFormatting sqref="N74:O74 Q74">
    <cfRule type="cellIs" dxfId="484" priority="141" operator="equal">
      <formula>"TBD"</formula>
    </cfRule>
  </conditionalFormatting>
  <conditionalFormatting sqref="N74:O74 Q74">
    <cfRule type="containsText" dxfId="483" priority="139" operator="containsText" text="DEAD">
      <formula>NOT(ISERROR(SEARCH("DEAD",N74)))</formula>
    </cfRule>
    <cfRule type="containsText" dxfId="482" priority="140" operator="containsText" text="HOLD">
      <formula>NOT(ISERROR(SEARCH("HOLD",N74)))</formula>
    </cfRule>
  </conditionalFormatting>
  <conditionalFormatting sqref="W140 W147:W148 W138 W66:W68 W9 W53 W11:W13 W154:W158 W56 W71 W63 W4:W6 W75:W76 W42:W49 W27:W28 W31 W34:W39 X49:Z49 W73 W17:W24 W79:W103">
    <cfRule type="cellIs" dxfId="481" priority="138" operator="equal">
      <formula>0</formula>
    </cfRule>
  </conditionalFormatting>
  <conditionalFormatting sqref="W31">
    <cfRule type="cellIs" dxfId="480" priority="137" operator="equal">
      <formula>0</formula>
    </cfRule>
  </conditionalFormatting>
  <conditionalFormatting sqref="W84">
    <cfRule type="cellIs" dxfId="479" priority="136" operator="equal">
      <formula>0</formula>
    </cfRule>
  </conditionalFormatting>
  <conditionalFormatting sqref="W36">
    <cfRule type="cellIs" dxfId="478" priority="135" operator="equal">
      <formula>0</formula>
    </cfRule>
  </conditionalFormatting>
  <conditionalFormatting sqref="S137:S138">
    <cfRule type="cellIs" dxfId="477" priority="133" operator="equal">
      <formula>"no"</formula>
    </cfRule>
    <cfRule type="cellIs" dxfId="476" priority="134" operator="equal">
      <formula>"yes"</formula>
    </cfRule>
  </conditionalFormatting>
  <conditionalFormatting sqref="F137:F138 M138:R138">
    <cfRule type="cellIs" dxfId="475" priority="132" operator="equal">
      <formula>"TBD"</formula>
    </cfRule>
  </conditionalFormatting>
  <conditionalFormatting sqref="F137:F138 M138:R138">
    <cfRule type="containsText" dxfId="474" priority="130" operator="containsText" text="DEAD">
      <formula>NOT(ISERROR(SEARCH("DEAD",F137)))</formula>
    </cfRule>
    <cfRule type="containsText" dxfId="473" priority="131" operator="containsText" text="HOLD">
      <formula>NOT(ISERROR(SEARCH("HOLD",F137)))</formula>
    </cfRule>
  </conditionalFormatting>
  <conditionalFormatting sqref="AA137:AA138">
    <cfRule type="cellIs" dxfId="472" priority="129" operator="equal">
      <formula>0</formula>
    </cfRule>
  </conditionalFormatting>
  <conditionalFormatting sqref="M71 O71">
    <cfRule type="cellIs" dxfId="471" priority="128" operator="equal">
      <formula>"TBD"</formula>
    </cfRule>
  </conditionalFormatting>
  <conditionalFormatting sqref="M71 O71">
    <cfRule type="containsText" dxfId="470" priority="126" operator="containsText" text="DEAD">
      <formula>NOT(ISERROR(SEARCH("DEAD",M71)))</formula>
    </cfRule>
    <cfRule type="containsText" dxfId="469" priority="127" operator="containsText" text="HOLD">
      <formula>NOT(ISERROR(SEARCH("HOLD",M71)))</formula>
    </cfRule>
  </conditionalFormatting>
  <conditionalFormatting sqref="M138:R138">
    <cfRule type="cellIs" dxfId="468" priority="125" operator="equal">
      <formula>"SOLD"</formula>
    </cfRule>
  </conditionalFormatting>
  <conditionalFormatting sqref="V159 V141 V133:V138 V162:V163">
    <cfRule type="cellIs" dxfId="467" priority="124" operator="equal">
      <formula>"TBD"</formula>
    </cfRule>
  </conditionalFormatting>
  <conditionalFormatting sqref="V133:V159 V162:V163">
    <cfRule type="containsText" dxfId="466" priority="122" operator="containsText" text="DEAD">
      <formula>NOT(ISERROR(SEARCH("DEAD",V133)))</formula>
    </cfRule>
    <cfRule type="containsText" dxfId="465" priority="123" operator="containsText" text="HOLD">
      <formula>NOT(ISERROR(SEARCH("HOLD",V133)))</formula>
    </cfRule>
  </conditionalFormatting>
  <conditionalFormatting sqref="V133:V134 V136:V141">
    <cfRule type="cellIs" dxfId="464" priority="121" operator="equal">
      <formula>"SOLD"</formula>
    </cfRule>
  </conditionalFormatting>
  <conditionalFormatting sqref="V135">
    <cfRule type="cellIs" dxfId="463" priority="120" operator="equal">
      <formula>"SOLD"</formula>
    </cfRule>
  </conditionalFormatting>
  <conditionalFormatting sqref="V163">
    <cfRule type="cellIs" dxfId="462" priority="119" operator="equal">
      <formula>"TBD"</formula>
    </cfRule>
  </conditionalFormatting>
  <conditionalFormatting sqref="V145">
    <cfRule type="cellIs" dxfId="461" priority="118" operator="equal">
      <formula>"TBD"</formula>
    </cfRule>
  </conditionalFormatting>
  <conditionalFormatting sqref="V145">
    <cfRule type="containsText" dxfId="460" priority="116" operator="containsText" text="DEAD">
      <formula>NOT(ISERROR(SEARCH("DEAD",V145)))</formula>
    </cfRule>
    <cfRule type="containsText" dxfId="459" priority="117" operator="containsText" text="HOLD">
      <formula>NOT(ISERROR(SEARCH("HOLD",V145)))</formula>
    </cfRule>
  </conditionalFormatting>
  <conditionalFormatting sqref="Q3:Q6">
    <cfRule type="cellIs" dxfId="458" priority="115" operator="equal">
      <formula>"TBD"</formula>
    </cfRule>
  </conditionalFormatting>
  <conditionalFormatting sqref="L63">
    <cfRule type="cellIs" dxfId="457" priority="114" operator="equal">
      <formula>"TBD"</formula>
    </cfRule>
  </conditionalFormatting>
  <conditionalFormatting sqref="L68">
    <cfRule type="cellIs" dxfId="456" priority="113" operator="equal">
      <formula>"TBD"</formula>
    </cfRule>
  </conditionalFormatting>
  <conditionalFormatting sqref="L69">
    <cfRule type="cellIs" dxfId="455" priority="112" operator="equal">
      <formula>"TBD"</formula>
    </cfRule>
  </conditionalFormatting>
  <conditionalFormatting sqref="L71">
    <cfRule type="cellIs" dxfId="454" priority="111" operator="equal">
      <formula>"TBD"</formula>
    </cfRule>
  </conditionalFormatting>
  <conditionalFormatting sqref="L71">
    <cfRule type="containsText" dxfId="453" priority="109" operator="containsText" text="DEAD">
      <formula>NOT(ISERROR(SEARCH("DEAD",L71)))</formula>
    </cfRule>
    <cfRule type="containsText" dxfId="452" priority="110" operator="containsText" text="HOLD">
      <formula>NOT(ISERROR(SEARCH("HOLD",L71)))</formula>
    </cfRule>
  </conditionalFormatting>
  <conditionalFormatting sqref="N63">
    <cfRule type="cellIs" dxfId="451" priority="108" operator="equal">
      <formula>"TBD"</formula>
    </cfRule>
  </conditionalFormatting>
  <conditionalFormatting sqref="N68">
    <cfRule type="cellIs" dxfId="450" priority="107" operator="equal">
      <formula>"TBD"</formula>
    </cfRule>
  </conditionalFormatting>
  <conditionalFormatting sqref="N69">
    <cfRule type="cellIs" dxfId="449" priority="106" operator="equal">
      <formula>"TBD"</formula>
    </cfRule>
  </conditionalFormatting>
  <conditionalFormatting sqref="N71">
    <cfRule type="cellIs" dxfId="448" priority="105" operator="equal">
      <formula>"TBD"</formula>
    </cfRule>
  </conditionalFormatting>
  <conditionalFormatting sqref="N71">
    <cfRule type="containsText" dxfId="447" priority="103" operator="containsText" text="DEAD">
      <formula>NOT(ISERROR(SEARCH("DEAD",N71)))</formula>
    </cfRule>
    <cfRule type="containsText" dxfId="446" priority="104" operator="containsText" text="HOLD">
      <formula>NOT(ISERROR(SEARCH("HOLD",N71)))</formula>
    </cfRule>
  </conditionalFormatting>
  <conditionalFormatting sqref="N5">
    <cfRule type="cellIs" dxfId="445" priority="102" operator="equal">
      <formula>"TBD"</formula>
    </cfRule>
  </conditionalFormatting>
  <conditionalFormatting sqref="N85">
    <cfRule type="cellIs" dxfId="444" priority="101" operator="equal">
      <formula>"TBD"</formula>
    </cfRule>
  </conditionalFormatting>
  <conditionalFormatting sqref="N5">
    <cfRule type="containsText" dxfId="443" priority="99" operator="containsText" text="DEAD">
      <formula>NOT(ISERROR(SEARCH("DEAD",N5)))</formula>
    </cfRule>
    <cfRule type="containsText" dxfId="442" priority="100" operator="containsText" text="HOLD">
      <formula>NOT(ISERROR(SEARCH("HOLD",N5)))</formula>
    </cfRule>
  </conditionalFormatting>
  <conditionalFormatting sqref="H156 H30 K56 H160:H161 K160:R161 X160:Z161 H69:H70 K155:K156 H15 H25:H26 H33:H51 H72:H74 L74:M78 K3:K51 K73:K104 H79:H104">
    <cfRule type="cellIs" dxfId="441" priority="98" operator="equal">
      <formula>"No"</formula>
    </cfRule>
  </conditionalFormatting>
  <conditionalFormatting sqref="S83">
    <cfRule type="cellIs" dxfId="440" priority="96" operator="equal">
      <formula>"no"</formula>
    </cfRule>
    <cfRule type="cellIs" dxfId="439" priority="97" operator="equal">
      <formula>"yes"</formula>
    </cfRule>
  </conditionalFormatting>
  <conditionalFormatting sqref="S83">
    <cfRule type="cellIs" dxfId="438" priority="94" operator="equal">
      <formula>"no"</formula>
    </cfRule>
    <cfRule type="cellIs" dxfId="437" priority="95" operator="equal">
      <formula>"yes"</formula>
    </cfRule>
  </conditionalFormatting>
  <conditionalFormatting sqref="S47">
    <cfRule type="cellIs" dxfId="436" priority="92" operator="equal">
      <formula>"no"</formula>
    </cfRule>
    <cfRule type="cellIs" dxfId="435" priority="93" operator="equal">
      <formula>"yes"</formula>
    </cfRule>
  </conditionalFormatting>
  <conditionalFormatting sqref="AS47">
    <cfRule type="cellIs" dxfId="434" priority="90" operator="lessThan">
      <formula>0</formula>
    </cfRule>
    <cfRule type="cellIs" dxfId="433" priority="91" operator="greaterThan">
      <formula>0</formula>
    </cfRule>
  </conditionalFormatting>
  <conditionalFormatting sqref="H47">
    <cfRule type="cellIs" dxfId="432" priority="89" operator="equal">
      <formula>"No"</formula>
    </cfRule>
  </conditionalFormatting>
  <conditionalFormatting sqref="AQ143:AQ163 AQ76 AQ4:AQ11">
    <cfRule type="cellIs" dxfId="431" priority="200" operator="greaterThan">
      <formula>$AA$50</formula>
    </cfRule>
    <cfRule type="cellIs" dxfId="430" priority="201" operator="lessThan">
      <formula>$AA$50</formula>
    </cfRule>
    <cfRule type="cellIs" dxfId="429" priority="202" operator="equal">
      <formula>$AA$50</formula>
    </cfRule>
    <cfRule type="cellIs" dxfId="428" priority="203" operator="equal">
      <formula>#REF!</formula>
    </cfRule>
  </conditionalFormatting>
  <conditionalFormatting sqref="H13:H14">
    <cfRule type="cellIs" dxfId="427" priority="87" operator="equal">
      <formula>"no"</formula>
    </cfRule>
    <cfRule type="cellIs" dxfId="426" priority="88" operator="equal">
      <formula>"yes"</formula>
    </cfRule>
  </conditionalFormatting>
  <conditionalFormatting sqref="H13:H14">
    <cfRule type="cellIs" dxfId="425" priority="85" operator="equal">
      <formula>"no"</formula>
    </cfRule>
    <cfRule type="cellIs" dxfId="424" priority="86" operator="equal">
      <formula>"yes"</formula>
    </cfRule>
  </conditionalFormatting>
  <conditionalFormatting sqref="H13:H14">
    <cfRule type="cellIs" dxfId="423" priority="83" operator="equal">
      <formula>"no"</formula>
    </cfRule>
    <cfRule type="cellIs" dxfId="422" priority="84" operator="equal">
      <formula>"yes"</formula>
    </cfRule>
  </conditionalFormatting>
  <conditionalFormatting sqref="H27:H29">
    <cfRule type="cellIs" dxfId="421" priority="81" operator="equal">
      <formula>"no"</formula>
    </cfRule>
    <cfRule type="cellIs" dxfId="420" priority="82" operator="equal">
      <formula>"yes"</formula>
    </cfRule>
  </conditionalFormatting>
  <conditionalFormatting sqref="H27:H29">
    <cfRule type="cellIs" dxfId="419" priority="79" operator="equal">
      <formula>"no"</formula>
    </cfRule>
    <cfRule type="cellIs" dxfId="418" priority="80" operator="equal">
      <formula>"yes"</formula>
    </cfRule>
  </conditionalFormatting>
  <conditionalFormatting sqref="H27:H29">
    <cfRule type="cellIs" dxfId="417" priority="77" operator="equal">
      <formula>"no"</formula>
    </cfRule>
    <cfRule type="cellIs" dxfId="416" priority="78" operator="equal">
      <formula>"yes"</formula>
    </cfRule>
  </conditionalFormatting>
  <conditionalFormatting sqref="AQ77">
    <cfRule type="cellIs" dxfId="415" priority="74" operator="lessThan">
      <formula>AA77</formula>
    </cfRule>
    <cfRule type="cellIs" dxfId="414" priority="75" operator="greaterThan">
      <formula>AA77</formula>
    </cfRule>
    <cfRule type="cellIs" dxfId="413" priority="76" operator="equal">
      <formula>AA77</formula>
    </cfRule>
  </conditionalFormatting>
  <conditionalFormatting sqref="S77">
    <cfRule type="cellIs" dxfId="412" priority="72" operator="equal">
      <formula>"no"</formula>
    </cfRule>
    <cfRule type="cellIs" dxfId="411" priority="73" operator="equal">
      <formula>"yes"</formula>
    </cfRule>
  </conditionalFormatting>
  <conditionalFormatting sqref="AA77">
    <cfRule type="cellIs" dxfId="410" priority="71" operator="equal">
      <formula>0</formula>
    </cfRule>
  </conditionalFormatting>
  <conditionalFormatting sqref="R77 G77:H77 C77:D77 N77:O77">
    <cfRule type="cellIs" dxfId="409" priority="70" operator="equal">
      <formula>"TBD"</formula>
    </cfRule>
  </conditionalFormatting>
  <conditionalFormatting sqref="AS77">
    <cfRule type="cellIs" dxfId="408" priority="68" operator="lessThan">
      <formula>0</formula>
    </cfRule>
    <cfRule type="cellIs" dxfId="407" priority="69" operator="greaterThan">
      <formula>0</formula>
    </cfRule>
  </conditionalFormatting>
  <conditionalFormatting sqref="R77 G77:H77 C77:D77 N77:O77">
    <cfRule type="containsText" dxfId="406" priority="66" operator="containsText" text="DEAD">
      <formula>NOT(ISERROR(SEARCH("DEAD",C77)))</formula>
    </cfRule>
    <cfRule type="containsText" dxfId="405" priority="67" operator="containsText" text="HOLD">
      <formula>NOT(ISERROR(SEARCH("HOLD",C77)))</formula>
    </cfRule>
  </conditionalFormatting>
  <conditionalFormatting sqref="W77">
    <cfRule type="cellIs" dxfId="404" priority="65" operator="equal">
      <formula>0</formula>
    </cfRule>
  </conditionalFormatting>
  <conditionalFormatting sqref="H77">
    <cfRule type="cellIs" dxfId="403" priority="64" operator="equal">
      <formula>"No"</formula>
    </cfRule>
  </conditionalFormatting>
  <conditionalFormatting sqref="S52:S76">
    <cfRule type="cellIs" dxfId="402" priority="62" operator="equal">
      <formula>"no"</formula>
    </cfRule>
    <cfRule type="cellIs" dxfId="401" priority="63" operator="equal">
      <formula>"yes"</formula>
    </cfRule>
  </conditionalFormatting>
  <conditionalFormatting sqref="AA52:AA76">
    <cfRule type="cellIs" dxfId="400" priority="61" operator="equal">
      <formula>0</formula>
    </cfRule>
  </conditionalFormatting>
  <conditionalFormatting sqref="N74:O76 K74:M78 C52:C76 R52:R76 K52:P52 K53:O73 G52:H76">
    <cfRule type="cellIs" dxfId="399" priority="60" operator="equal">
      <formula>"TBD"</formula>
    </cfRule>
  </conditionalFormatting>
  <conditionalFormatting sqref="AS52:AS76">
    <cfRule type="cellIs" dxfId="398" priority="58" operator="lessThan">
      <formula>0</formula>
    </cfRule>
    <cfRule type="cellIs" dxfId="397" priority="59" operator="greaterThan">
      <formula>0</formula>
    </cfRule>
  </conditionalFormatting>
  <conditionalFormatting sqref="N74:O76 K74:M78 C52:C76 R52:R76 K52:P52 K53:O73 G52:H76">
    <cfRule type="containsText" dxfId="396" priority="56" operator="containsText" text="DEAD">
      <formula>NOT(ISERROR(SEARCH("DEAD",C52)))</formula>
    </cfRule>
    <cfRule type="containsText" dxfId="395" priority="57" operator="containsText" text="HOLD">
      <formula>NOT(ISERROR(SEARCH("HOLD",C52)))</formula>
    </cfRule>
  </conditionalFormatting>
  <conditionalFormatting sqref="W52:W76">
    <cfRule type="cellIs" dxfId="394" priority="55" operator="equal">
      <formula>0</formula>
    </cfRule>
  </conditionalFormatting>
  <conditionalFormatting sqref="L74:M78 K52:K78 H52:H76">
    <cfRule type="cellIs" dxfId="393" priority="54" operator="equal">
      <formula>"No"</formula>
    </cfRule>
  </conditionalFormatting>
  <conditionalFormatting sqref="S98">
    <cfRule type="cellIs" dxfId="392" priority="52" operator="equal">
      <formula>"no"</formula>
    </cfRule>
    <cfRule type="cellIs" dxfId="391" priority="53" operator="equal">
      <formula>"yes"</formula>
    </cfRule>
  </conditionalFormatting>
  <conditionalFormatting sqref="AA98">
    <cfRule type="cellIs" dxfId="390" priority="51" operator="equal">
      <formula>0</formula>
    </cfRule>
  </conditionalFormatting>
  <conditionalFormatting sqref="K98:O98 R98 G98:H98 C98:E98 H99:H103">
    <cfRule type="cellIs" dxfId="389" priority="50" operator="equal">
      <formula>"TBD"</formula>
    </cfRule>
  </conditionalFormatting>
  <conditionalFormatting sqref="AS98">
    <cfRule type="cellIs" dxfId="388" priority="48" operator="lessThan">
      <formula>0</formula>
    </cfRule>
    <cfRule type="cellIs" dxfId="387" priority="49" operator="greaterThan">
      <formula>0</formula>
    </cfRule>
  </conditionalFormatting>
  <conditionalFormatting sqref="K98:O98 R98 G98:H98 C98:E98 H99:H103">
    <cfRule type="containsText" dxfId="386" priority="46" operator="containsText" text="DEAD">
      <formula>NOT(ISERROR(SEARCH("DEAD",C98)))</formula>
    </cfRule>
    <cfRule type="containsText" dxfId="385" priority="47" operator="containsText" text="HOLD">
      <formula>NOT(ISERROR(SEARCH("HOLD",C98)))</formula>
    </cfRule>
  </conditionalFormatting>
  <conditionalFormatting sqref="W98">
    <cfRule type="cellIs" dxfId="384" priority="45" operator="equal">
      <formula>0</formula>
    </cfRule>
  </conditionalFormatting>
  <conditionalFormatting sqref="K98">
    <cfRule type="cellIs" dxfId="383" priority="44" operator="equal">
      <formula>"No"</formula>
    </cfRule>
  </conditionalFormatting>
  <conditionalFormatting sqref="AQ78">
    <cfRule type="cellIs" dxfId="382" priority="41" operator="lessThan">
      <formula>AA78</formula>
    </cfRule>
    <cfRule type="cellIs" dxfId="381" priority="42" operator="greaterThan">
      <formula>AA78</formula>
    </cfRule>
    <cfRule type="cellIs" dxfId="380" priority="43" operator="equal">
      <formula>AA78</formula>
    </cfRule>
  </conditionalFormatting>
  <conditionalFormatting sqref="S78">
    <cfRule type="cellIs" dxfId="379" priority="39" operator="equal">
      <formula>"no"</formula>
    </cfRule>
    <cfRule type="cellIs" dxfId="378" priority="40" operator="equal">
      <formula>"yes"</formula>
    </cfRule>
  </conditionalFormatting>
  <conditionalFormatting sqref="AA78">
    <cfRule type="cellIs" dxfId="377" priority="38" operator="equal">
      <formula>0</formula>
    </cfRule>
  </conditionalFormatting>
  <conditionalFormatting sqref="R78 G78:H78 C78:D78 N78:O78">
    <cfRule type="cellIs" dxfId="376" priority="37" operator="equal">
      <formula>"TBD"</formula>
    </cfRule>
  </conditionalFormatting>
  <conditionalFormatting sqref="AS78">
    <cfRule type="cellIs" dxfId="375" priority="35" operator="lessThan">
      <formula>0</formula>
    </cfRule>
    <cfRule type="cellIs" dxfId="374" priority="36" operator="greaterThan">
      <formula>0</formula>
    </cfRule>
  </conditionalFormatting>
  <conditionalFormatting sqref="R78 G78:H78 C78:D78 N78:O78">
    <cfRule type="containsText" dxfId="373" priority="33" operator="containsText" text="DEAD">
      <formula>NOT(ISERROR(SEARCH("DEAD",C78)))</formula>
    </cfRule>
    <cfRule type="containsText" dxfId="372" priority="34" operator="containsText" text="HOLD">
      <formula>NOT(ISERROR(SEARCH("HOLD",C78)))</formula>
    </cfRule>
  </conditionalFormatting>
  <conditionalFormatting sqref="W78">
    <cfRule type="cellIs" dxfId="371" priority="32" operator="equal">
      <formula>0</formula>
    </cfRule>
  </conditionalFormatting>
  <conditionalFormatting sqref="H78">
    <cfRule type="cellIs" dxfId="370" priority="31" operator="equal">
      <formula>"No"</formula>
    </cfRule>
  </conditionalFormatting>
  <conditionalFormatting sqref="H155">
    <cfRule type="cellIs" dxfId="369" priority="29" operator="equal">
      <formula>"no"</formula>
    </cfRule>
    <cfRule type="cellIs" dxfId="368" priority="30" operator="equal">
      <formula>"yes"</formula>
    </cfRule>
  </conditionalFormatting>
  <conditionalFormatting sqref="H155">
    <cfRule type="cellIs" dxfId="367" priority="27" operator="equal">
      <formula>"no"</formula>
    </cfRule>
    <cfRule type="cellIs" dxfId="366" priority="28" operator="equal">
      <formula>"yes"</formula>
    </cfRule>
  </conditionalFormatting>
  <conditionalFormatting sqref="H155">
    <cfRule type="cellIs" dxfId="365" priority="25" operator="equal">
      <formula>"no"</formula>
    </cfRule>
    <cfRule type="cellIs" dxfId="364" priority="26" operator="equal">
      <formula>"yes"</formula>
    </cfRule>
  </conditionalFormatting>
  <conditionalFormatting sqref="H31:H32">
    <cfRule type="cellIs" dxfId="363" priority="23" operator="equal">
      <formula>"no"</formula>
    </cfRule>
    <cfRule type="cellIs" dxfId="362" priority="24" operator="equal">
      <formula>"yes"</formula>
    </cfRule>
  </conditionalFormatting>
  <conditionalFormatting sqref="H31:H32">
    <cfRule type="cellIs" dxfId="361" priority="21" operator="equal">
      <formula>"no"</formula>
    </cfRule>
    <cfRule type="cellIs" dxfId="360" priority="22" operator="equal">
      <formula>"yes"</formula>
    </cfRule>
  </conditionalFormatting>
  <conditionalFormatting sqref="H31:H32">
    <cfRule type="cellIs" dxfId="359" priority="19" operator="equal">
      <formula>"no"</formula>
    </cfRule>
    <cfRule type="cellIs" dxfId="358" priority="20" operator="equal">
      <formula>"yes"</formula>
    </cfRule>
  </conditionalFormatting>
  <conditionalFormatting sqref="H46">
    <cfRule type="cellIs" dxfId="357" priority="17" operator="equal">
      <formula>"no"</formula>
    </cfRule>
    <cfRule type="cellIs" dxfId="356" priority="18" operator="equal">
      <formula>"yes"</formula>
    </cfRule>
  </conditionalFormatting>
  <conditionalFormatting sqref="O71">
    <cfRule type="cellIs" dxfId="355" priority="16" operator="equal">
      <formula>"TBD"</formula>
    </cfRule>
  </conditionalFormatting>
  <conditionalFormatting sqref="K72:K73">
    <cfRule type="cellIs" dxfId="354" priority="15" operator="equal">
      <formula>"TBD"</formula>
    </cfRule>
  </conditionalFormatting>
  <conditionalFormatting sqref="O43:P43">
    <cfRule type="cellIs" dxfId="353" priority="14" operator="equal">
      <formula>"TBD"</formula>
    </cfRule>
  </conditionalFormatting>
  <conditionalFormatting sqref="O43:P43">
    <cfRule type="containsText" dxfId="352" priority="12" operator="containsText" text="DEAD">
      <formula>NOT(ISERROR(SEARCH("DEAD",O43)))</formula>
    </cfRule>
    <cfRule type="containsText" dxfId="351" priority="13" operator="containsText" text="HOLD">
      <formula>NOT(ISERROR(SEARCH("HOLD",O43)))</formula>
    </cfRule>
  </conditionalFormatting>
  <conditionalFormatting sqref="D105:E1048576">
    <cfRule type="cellIs" dxfId="350" priority="11" operator="equal">
      <formula>"TBD"</formula>
    </cfRule>
  </conditionalFormatting>
  <conditionalFormatting sqref="D105:E1048576">
    <cfRule type="containsText" dxfId="349" priority="9" operator="containsText" text="DEAD">
      <formula>NOT(ISERROR(SEARCH("DEAD",D105)))</formula>
    </cfRule>
    <cfRule type="containsText" dxfId="348" priority="10" operator="containsText" text="HOLD">
      <formula>NOT(ISERROR(SEARCH("HOLD",D105)))</formula>
    </cfRule>
  </conditionalFormatting>
  <conditionalFormatting sqref="D75:D76 E75:E78 D52:E74">
    <cfRule type="cellIs" dxfId="347" priority="8" operator="equal">
      <formula>"TBD"</formula>
    </cfRule>
  </conditionalFormatting>
  <conditionalFormatting sqref="D75:D76 E75:E78 D52:E74">
    <cfRule type="containsText" dxfId="346" priority="6" operator="containsText" text="DEAD">
      <formula>NOT(ISERROR(SEARCH("DEAD",D52)))</formula>
    </cfRule>
    <cfRule type="containsText" dxfId="345" priority="7" operator="containsText" text="HOLD">
      <formula>NOT(ISERROR(SEARCH("HOLD",D52)))</formula>
    </cfRule>
  </conditionalFormatting>
  <conditionalFormatting sqref="C84">
    <cfRule type="cellIs" dxfId="344" priority="5" operator="equal">
      <formula>"TBD"</formula>
    </cfRule>
  </conditionalFormatting>
  <conditionalFormatting sqref="C84">
    <cfRule type="containsText" dxfId="343" priority="3" operator="containsText" text="DEAD">
      <formula>NOT(ISERROR(SEARCH("DEAD",C84)))</formula>
    </cfRule>
    <cfRule type="containsText" dxfId="342" priority="4" operator="containsText" text="HOLD">
      <formula>NOT(ISERROR(SEARCH("HOLD",C84)))</formula>
    </cfRule>
  </conditionalFormatting>
  <conditionalFormatting sqref="H1:H1048576">
    <cfRule type="cellIs" dxfId="341" priority="2" operator="equal">
      <formula>"yes"</formula>
    </cfRule>
  </conditionalFormatting>
  <conditionalFormatting sqref="P4:P13 P27:P28 P31 P34:P39 P42:P49 P16:P24 P52:P104">
    <cfRule type="cellIs" dxfId="340" priority="1" operator="lessThan">
      <formula>8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858A8-D9FB-430F-9004-3AE3F60603DA}">
  <dimension ref="A1:AT163"/>
  <sheetViews>
    <sheetView zoomScaleNormal="100" zoomScaleSheetLayoutView="85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AD2" sqref="AD2"/>
    </sheetView>
  </sheetViews>
  <sheetFormatPr defaultRowHeight="15" x14ac:dyDescent="0.25"/>
  <cols>
    <col min="1" max="1" width="12.42578125" customWidth="1"/>
    <col min="2" max="2" width="49" bestFit="1" customWidth="1"/>
    <col min="3" max="3" width="36.5703125" style="74" customWidth="1"/>
    <col min="4" max="4" width="14.5703125" style="445" customWidth="1"/>
    <col min="5" max="5" width="14.5703125" style="470" customWidth="1"/>
    <col min="6" max="6" width="46.5703125" customWidth="1"/>
    <col min="7" max="8" width="16.5703125" style="74" customWidth="1"/>
    <col min="9" max="9" width="14.5703125" style="74" customWidth="1"/>
    <col min="10" max="10" width="13.5703125" style="74" customWidth="1"/>
    <col min="11" max="11" width="13.5703125" style="74" hidden="1" customWidth="1"/>
    <col min="12" max="12" width="13.5703125" style="295" customWidth="1"/>
    <col min="13" max="13" width="13.5703125" style="295" hidden="1" customWidth="1"/>
    <col min="14" max="14" width="13.5703125" style="295" customWidth="1"/>
    <col min="15" max="15" width="13.5703125" style="296" customWidth="1"/>
    <col min="16" max="16" width="13.5703125" style="295" hidden="1" customWidth="1"/>
    <col min="17" max="17" width="13.5703125" style="296" customWidth="1"/>
    <col min="18" max="18" width="11.5703125" style="74" customWidth="1"/>
    <col min="19" max="19" width="13.5703125" style="74" customWidth="1"/>
    <col min="20" max="20" width="12.5703125" style="74" customWidth="1"/>
    <col min="21" max="21" width="12.5703125" style="296" customWidth="1"/>
    <col min="22" max="22" width="16.42578125" style="38" customWidth="1"/>
    <col min="23" max="23" width="16.5703125" style="38" customWidth="1"/>
    <col min="24" max="24" width="16.5703125" style="293" customWidth="1"/>
    <col min="25" max="25" width="16.5703125" style="38" customWidth="1"/>
    <col min="26" max="26" width="18.5703125" style="78" customWidth="1"/>
    <col min="27" max="27" width="19.5703125" style="277" customWidth="1"/>
    <col min="28" max="39" width="18.42578125" style="277" customWidth="1"/>
    <col min="40" max="40" width="16.5703125" style="78" customWidth="1"/>
    <col min="41" max="41" width="3.42578125" style="79" customWidth="1"/>
    <col min="42" max="42" width="17.42578125" style="78" customWidth="1"/>
    <col min="43" max="43" width="3.42578125" style="79" customWidth="1"/>
    <col min="44" max="44" width="17.5703125" style="361" customWidth="1"/>
    <col min="45" max="45" width="76.5703125" customWidth="1"/>
    <col min="46" max="46" width="10.5703125" bestFit="1" customWidth="1"/>
  </cols>
  <sheetData>
    <row r="1" spans="1:46" s="36" customFormat="1" ht="20.100000000000001" customHeight="1" x14ac:dyDescent="0.25">
      <c r="A1" s="437" t="s">
        <v>453</v>
      </c>
      <c r="B1" s="437" t="s">
        <v>453</v>
      </c>
      <c r="C1" s="437" t="s">
        <v>857</v>
      </c>
      <c r="D1" s="437" t="s">
        <v>859</v>
      </c>
      <c r="E1" s="437" t="s">
        <v>908</v>
      </c>
      <c r="F1" s="437" t="s">
        <v>936</v>
      </c>
      <c r="G1" s="437" t="s">
        <v>455</v>
      </c>
      <c r="H1" s="437" t="s">
        <v>936</v>
      </c>
      <c r="I1" s="437" t="s">
        <v>857</v>
      </c>
      <c r="J1" s="437" t="s">
        <v>857</v>
      </c>
      <c r="K1" s="437" t="s">
        <v>457</v>
      </c>
      <c r="L1" s="318" t="s">
        <v>457</v>
      </c>
      <c r="M1" s="318" t="s">
        <v>457</v>
      </c>
      <c r="N1" s="318" t="s">
        <v>457</v>
      </c>
      <c r="O1" s="331" t="s">
        <v>908</v>
      </c>
      <c r="P1" s="318" t="s">
        <v>457</v>
      </c>
      <c r="Q1" s="318" t="s">
        <v>457</v>
      </c>
      <c r="R1" s="318" t="s">
        <v>457</v>
      </c>
      <c r="S1" s="437" t="s">
        <v>455</v>
      </c>
      <c r="T1" s="437" t="s">
        <v>455</v>
      </c>
      <c r="U1" s="331" t="s">
        <v>455</v>
      </c>
      <c r="V1" s="331" t="s">
        <v>455</v>
      </c>
      <c r="W1" s="331" t="s">
        <v>453</v>
      </c>
      <c r="X1" s="318" t="s">
        <v>453</v>
      </c>
      <c r="Y1" s="438" t="s">
        <v>457</v>
      </c>
      <c r="Z1" s="438" t="s">
        <v>457</v>
      </c>
      <c r="AA1" s="456"/>
      <c r="AB1" s="530">
        <v>2022</v>
      </c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282">
        <v>2023</v>
      </c>
      <c r="AO1" s="42"/>
      <c r="AP1" s="41"/>
      <c r="AQ1" s="42"/>
      <c r="AR1" s="357"/>
    </row>
    <row r="2" spans="1:46" s="292" customFormat="1" ht="47.25" x14ac:dyDescent="0.25">
      <c r="A2" s="284" t="s">
        <v>614</v>
      </c>
      <c r="B2" s="285" t="s">
        <v>613</v>
      </c>
      <c r="C2" s="419" t="s">
        <v>801</v>
      </c>
      <c r="D2" s="286" t="s">
        <v>343</v>
      </c>
      <c r="E2" s="419" t="s">
        <v>888</v>
      </c>
      <c r="F2" s="285" t="s">
        <v>612</v>
      </c>
      <c r="G2" s="286" t="s">
        <v>12</v>
      </c>
      <c r="H2" s="286" t="s">
        <v>792</v>
      </c>
      <c r="I2" s="419" t="s">
        <v>889</v>
      </c>
      <c r="J2" s="286" t="s">
        <v>796</v>
      </c>
      <c r="K2" s="286" t="s">
        <v>780</v>
      </c>
      <c r="L2" s="294" t="s">
        <v>781</v>
      </c>
      <c r="M2" s="286" t="s">
        <v>782</v>
      </c>
      <c r="N2" s="294" t="s">
        <v>783</v>
      </c>
      <c r="O2" s="287" t="s">
        <v>907</v>
      </c>
      <c r="P2" s="286" t="s">
        <v>861</v>
      </c>
      <c r="Q2" s="287" t="s">
        <v>785</v>
      </c>
      <c r="R2" s="286" t="s">
        <v>620</v>
      </c>
      <c r="S2" s="286" t="s">
        <v>345</v>
      </c>
      <c r="T2" s="286" t="s">
        <v>346</v>
      </c>
      <c r="U2" s="287" t="s">
        <v>899</v>
      </c>
      <c r="V2" s="287" t="s">
        <v>898</v>
      </c>
      <c r="W2" s="287" t="s">
        <v>644</v>
      </c>
      <c r="X2" s="294" t="s">
        <v>944</v>
      </c>
      <c r="Y2" s="287" t="s">
        <v>860</v>
      </c>
      <c r="Z2" s="82" t="s">
        <v>802</v>
      </c>
      <c r="AA2" s="288" t="s">
        <v>870</v>
      </c>
      <c r="AB2" s="82" t="s">
        <v>749</v>
      </c>
      <c r="AC2" s="82" t="s">
        <v>750</v>
      </c>
      <c r="AD2" s="82" t="s">
        <v>751</v>
      </c>
      <c r="AE2" s="82" t="s">
        <v>752</v>
      </c>
      <c r="AF2" s="82" t="s">
        <v>753</v>
      </c>
      <c r="AG2" s="82" t="s">
        <v>754</v>
      </c>
      <c r="AH2" s="82" t="s">
        <v>755</v>
      </c>
      <c r="AI2" s="82" t="s">
        <v>756</v>
      </c>
      <c r="AJ2" s="82" t="s">
        <v>758</v>
      </c>
      <c r="AK2" s="82" t="s">
        <v>757</v>
      </c>
      <c r="AL2" s="82" t="s">
        <v>759</v>
      </c>
      <c r="AM2" s="82" t="s">
        <v>760</v>
      </c>
      <c r="AN2" s="289" t="s">
        <v>628</v>
      </c>
      <c r="AO2" s="290"/>
      <c r="AP2" s="82" t="s">
        <v>365</v>
      </c>
      <c r="AQ2" s="290"/>
      <c r="AR2" s="358" t="s">
        <v>366</v>
      </c>
      <c r="AS2" s="291" t="s">
        <v>547</v>
      </c>
    </row>
    <row r="3" spans="1:46" s="36" customFormat="1" ht="15.75" x14ac:dyDescent="0.25">
      <c r="A3" s="381" t="s">
        <v>27</v>
      </c>
      <c r="B3" s="106"/>
      <c r="C3" s="102"/>
      <c r="D3" s="102"/>
      <c r="E3" s="102"/>
      <c r="F3" s="381"/>
      <c r="G3" s="102"/>
      <c r="H3" s="102"/>
      <c r="I3" s="102"/>
      <c r="J3" s="102"/>
      <c r="K3" s="102"/>
      <c r="L3" s="276"/>
      <c r="M3" s="276"/>
      <c r="N3" s="276"/>
      <c r="O3" s="84"/>
      <c r="P3" s="276"/>
      <c r="Q3" s="84"/>
      <c r="R3" s="102"/>
      <c r="S3" s="102"/>
      <c r="T3" s="102"/>
      <c r="U3" s="84"/>
      <c r="V3" s="102"/>
      <c r="W3" s="102"/>
      <c r="X3" s="276"/>
      <c r="Y3" s="102"/>
      <c r="Z3" s="102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47"/>
      <c r="AP3" s="103"/>
      <c r="AQ3" s="51"/>
      <c r="AR3" s="357"/>
    </row>
    <row r="4" spans="1:46" s="36" customFormat="1" ht="15.75" x14ac:dyDescent="0.25">
      <c r="A4" s="34" t="s">
        <v>166</v>
      </c>
      <c r="B4" s="35" t="s">
        <v>168</v>
      </c>
      <c r="C4" s="464" t="s">
        <v>808</v>
      </c>
      <c r="D4" s="298" t="s">
        <v>401</v>
      </c>
      <c r="E4" s="464" t="s">
        <v>890</v>
      </c>
      <c r="F4" s="417" t="s">
        <v>169</v>
      </c>
      <c r="G4" s="298" t="s">
        <v>46</v>
      </c>
      <c r="H4" s="329">
        <v>44301</v>
      </c>
      <c r="I4" s="464"/>
      <c r="J4" s="329" t="s">
        <v>370</v>
      </c>
      <c r="K4" s="298">
        <v>44243</v>
      </c>
      <c r="L4" s="329">
        <v>44243</v>
      </c>
      <c r="M4" s="298">
        <v>44302</v>
      </c>
      <c r="N4" s="329">
        <v>44302</v>
      </c>
      <c r="O4" s="346" t="e">
        <f>N4-J4</f>
        <v>#VALUE!</v>
      </c>
      <c r="P4" s="301">
        <f>M4-K4</f>
        <v>59</v>
      </c>
      <c r="Q4" s="346">
        <f t="shared" ref="P4:Q21" si="0">N4-L4</f>
        <v>59</v>
      </c>
      <c r="R4" s="52" t="s">
        <v>370</v>
      </c>
      <c r="S4" s="329">
        <v>44319</v>
      </c>
      <c r="T4" s="348">
        <v>44571</v>
      </c>
      <c r="U4" s="301">
        <v>8.3720930232558146</v>
      </c>
      <c r="V4" s="301">
        <f t="shared" ref="V4:V21" si="1">((T4-S4)/7)/4.3</f>
        <v>8.3720930232558146</v>
      </c>
      <c r="W4" s="301"/>
      <c r="X4" s="298"/>
      <c r="Y4" s="50" t="s">
        <v>370</v>
      </c>
      <c r="Z4" s="182">
        <v>1181869.7</v>
      </c>
      <c r="AA4" s="211">
        <v>1013323.8300000001</v>
      </c>
      <c r="AB4" s="211">
        <v>59705.08</v>
      </c>
      <c r="AC4" s="211">
        <v>0</v>
      </c>
      <c r="AD4" s="211">
        <v>0</v>
      </c>
      <c r="AE4" s="58"/>
      <c r="AF4" s="58"/>
      <c r="AG4" s="58"/>
      <c r="AH4" s="58"/>
      <c r="AI4" s="58"/>
      <c r="AJ4" s="58"/>
      <c r="AK4" s="58"/>
      <c r="AL4" s="58"/>
      <c r="AM4" s="58"/>
      <c r="AN4" s="53"/>
      <c r="AO4" s="47"/>
      <c r="AP4" s="53">
        <f t="shared" ref="AP4:AP21" si="2">SUM(AA4:AO4)</f>
        <v>1073028.9100000001</v>
      </c>
      <c r="AQ4" s="51"/>
      <c r="AR4" s="359">
        <f t="shared" ref="AR4:AR23" si="3">AP4-Z4</f>
        <v>-108840.7899999998</v>
      </c>
    </row>
    <row r="5" spans="1:46" s="36" customFormat="1" ht="15.75" x14ac:dyDescent="0.25">
      <c r="A5" s="319" t="s">
        <v>170</v>
      </c>
      <c r="B5" s="320" t="s">
        <v>621</v>
      </c>
      <c r="C5" s="428" t="s">
        <v>173</v>
      </c>
      <c r="D5" s="321" t="s">
        <v>402</v>
      </c>
      <c r="E5" s="421" t="s">
        <v>890</v>
      </c>
      <c r="F5" s="370" t="s">
        <v>172</v>
      </c>
      <c r="G5" s="321" t="s">
        <v>46</v>
      </c>
      <c r="H5" s="332">
        <v>44337</v>
      </c>
      <c r="I5" s="428"/>
      <c r="J5" s="332" t="s">
        <v>370</v>
      </c>
      <c r="K5" s="339">
        <v>44201</v>
      </c>
      <c r="L5" s="332">
        <v>44201</v>
      </c>
      <c r="M5" s="339">
        <v>44302</v>
      </c>
      <c r="N5" s="332">
        <v>44302</v>
      </c>
      <c r="O5" s="343" t="e">
        <f t="shared" ref="O5:O21" si="4">N5-J5</f>
        <v>#VALUE!</v>
      </c>
      <c r="P5" s="371">
        <f t="shared" si="0"/>
        <v>101</v>
      </c>
      <c r="Q5" s="343">
        <f t="shared" si="0"/>
        <v>101</v>
      </c>
      <c r="R5" s="339" t="s">
        <v>370</v>
      </c>
      <c r="S5" s="332">
        <v>44415</v>
      </c>
      <c r="T5" s="332">
        <v>44586</v>
      </c>
      <c r="U5" s="322">
        <v>5.1827242524916945</v>
      </c>
      <c r="V5" s="322">
        <f t="shared" si="1"/>
        <v>5.6810631229235877</v>
      </c>
      <c r="W5" s="322"/>
      <c r="X5" s="321"/>
      <c r="Y5" s="322" t="s">
        <v>370</v>
      </c>
      <c r="Z5" s="323">
        <v>1051400.45</v>
      </c>
      <c r="AA5" s="211">
        <v>987033.51</v>
      </c>
      <c r="AB5" s="211">
        <v>64366.94</v>
      </c>
      <c r="AC5" s="211">
        <v>0</v>
      </c>
      <c r="AD5" s="211">
        <v>0</v>
      </c>
      <c r="AE5" s="58"/>
      <c r="AF5" s="58"/>
      <c r="AG5" s="58"/>
      <c r="AH5" s="58"/>
      <c r="AI5" s="58"/>
      <c r="AJ5" s="58"/>
      <c r="AK5" s="58"/>
      <c r="AL5" s="58"/>
      <c r="AM5" s="58"/>
      <c r="AN5" s="53"/>
      <c r="AO5" s="47"/>
      <c r="AP5" s="53">
        <f t="shared" si="2"/>
        <v>1051400.45</v>
      </c>
      <c r="AQ5" s="51"/>
      <c r="AR5" s="359">
        <f t="shared" si="3"/>
        <v>0</v>
      </c>
      <c r="AT5" s="55"/>
    </row>
    <row r="6" spans="1:46" s="36" customFormat="1" ht="15.75" x14ac:dyDescent="0.25">
      <c r="A6" s="113" t="s">
        <v>174</v>
      </c>
      <c r="B6" s="113" t="s">
        <v>175</v>
      </c>
      <c r="C6" s="299" t="s">
        <v>808</v>
      </c>
      <c r="D6" s="299" t="s">
        <v>401</v>
      </c>
      <c r="E6" s="464" t="s">
        <v>890</v>
      </c>
      <c r="F6" s="300" t="s">
        <v>172</v>
      </c>
      <c r="G6" s="299" t="s">
        <v>46</v>
      </c>
      <c r="H6" s="329">
        <v>44363</v>
      </c>
      <c r="I6" s="299"/>
      <c r="J6" s="330" t="s">
        <v>370</v>
      </c>
      <c r="K6" s="298">
        <v>44362</v>
      </c>
      <c r="L6" s="329">
        <v>44362</v>
      </c>
      <c r="M6" s="298">
        <v>44418</v>
      </c>
      <c r="N6" s="329">
        <v>44418</v>
      </c>
      <c r="O6" s="346" t="e">
        <f t="shared" si="4"/>
        <v>#VALUE!</v>
      </c>
      <c r="P6" s="301">
        <f t="shared" si="0"/>
        <v>56</v>
      </c>
      <c r="Q6" s="346">
        <f t="shared" si="0"/>
        <v>56</v>
      </c>
      <c r="R6" s="52" t="s">
        <v>370</v>
      </c>
      <c r="S6" s="329">
        <v>44382</v>
      </c>
      <c r="T6" s="348">
        <v>44589</v>
      </c>
      <c r="U6" s="50">
        <v>6.8770764119601333</v>
      </c>
      <c r="V6" s="50">
        <f t="shared" si="1"/>
        <v>6.8770764119601333</v>
      </c>
      <c r="W6" s="50"/>
      <c r="X6" s="52"/>
      <c r="Y6" s="50" t="s">
        <v>370</v>
      </c>
      <c r="Z6" s="182">
        <v>1367413.55</v>
      </c>
      <c r="AA6" s="211">
        <v>864219.08000000007</v>
      </c>
      <c r="AB6" s="211">
        <v>83841.399999999994</v>
      </c>
      <c r="AC6" s="211">
        <v>12631.18</v>
      </c>
      <c r="AD6" s="211">
        <v>89678.37</v>
      </c>
      <c r="AE6" s="58"/>
      <c r="AF6" s="58"/>
      <c r="AG6" s="58"/>
      <c r="AH6" s="58"/>
      <c r="AI6" s="58"/>
      <c r="AJ6" s="58"/>
      <c r="AK6" s="58"/>
      <c r="AL6" s="58"/>
      <c r="AM6" s="58"/>
      <c r="AN6" s="53"/>
      <c r="AO6" s="47"/>
      <c r="AP6" s="53">
        <f t="shared" si="2"/>
        <v>1050370.0300000003</v>
      </c>
      <c r="AQ6" s="51"/>
      <c r="AR6" s="359">
        <f t="shared" si="3"/>
        <v>-317043.51999999979</v>
      </c>
      <c r="AT6" s="55"/>
    </row>
    <row r="7" spans="1:46" s="452" customFormat="1" ht="15.75" x14ac:dyDescent="0.25">
      <c r="A7" s="113" t="s">
        <v>176</v>
      </c>
      <c r="B7" s="114" t="s">
        <v>925</v>
      </c>
      <c r="C7" s="424" t="s">
        <v>808</v>
      </c>
      <c r="D7" s="52" t="s">
        <v>401</v>
      </c>
      <c r="E7" s="464" t="s">
        <v>890</v>
      </c>
      <c r="F7" s="114" t="s">
        <v>642</v>
      </c>
      <c r="G7" s="299" t="s">
        <v>46</v>
      </c>
      <c r="H7" s="329">
        <v>44363</v>
      </c>
      <c r="I7" s="424"/>
      <c r="J7" s="330" t="s">
        <v>370</v>
      </c>
      <c r="K7" s="299">
        <v>44367</v>
      </c>
      <c r="L7" s="330">
        <v>44367</v>
      </c>
      <c r="M7" s="299">
        <v>44533</v>
      </c>
      <c r="N7" s="329">
        <v>44533</v>
      </c>
      <c r="O7" s="346" t="e">
        <f t="shared" si="4"/>
        <v>#VALUE!</v>
      </c>
      <c r="P7" s="301">
        <f t="shared" si="0"/>
        <v>166</v>
      </c>
      <c r="Q7" s="333">
        <f t="shared" si="0"/>
        <v>166</v>
      </c>
      <c r="R7" s="52" t="s">
        <v>370</v>
      </c>
      <c r="S7" s="329">
        <v>44517</v>
      </c>
      <c r="T7" s="87">
        <v>44704</v>
      </c>
      <c r="U7" s="50">
        <v>3.0000000000000968</v>
      </c>
      <c r="V7" s="50">
        <f t="shared" si="1"/>
        <v>6.2126245847176085</v>
      </c>
      <c r="W7" s="50"/>
      <c r="X7" s="52"/>
      <c r="Y7" s="50" t="s">
        <v>370</v>
      </c>
      <c r="Z7" s="182">
        <v>272915</v>
      </c>
      <c r="AA7" s="211">
        <v>139535.13999999998</v>
      </c>
      <c r="AB7" s="211">
        <v>39753.440000000002</v>
      </c>
      <c r="AC7" s="211">
        <v>25717.67</v>
      </c>
      <c r="AD7" s="211">
        <v>39311.75</v>
      </c>
      <c r="AE7" s="275">
        <v>25000</v>
      </c>
      <c r="AF7" s="275">
        <v>17908.75</v>
      </c>
      <c r="AG7" s="58"/>
      <c r="AH7" s="58"/>
      <c r="AI7" s="58"/>
      <c r="AJ7" s="58"/>
      <c r="AK7" s="58"/>
      <c r="AL7" s="58"/>
      <c r="AM7" s="58"/>
      <c r="AN7" s="53"/>
      <c r="AO7" s="47"/>
      <c r="AP7" s="53">
        <f t="shared" si="2"/>
        <v>287226.75</v>
      </c>
      <c r="AQ7" s="51"/>
      <c r="AR7" s="359">
        <f t="shared" si="3"/>
        <v>14311.75</v>
      </c>
      <c r="AS7" s="36"/>
      <c r="AT7" s="55"/>
    </row>
    <row r="8" spans="1:46" s="36" customFormat="1" ht="15.75" x14ac:dyDescent="0.25">
      <c r="A8" s="113" t="s">
        <v>485</v>
      </c>
      <c r="B8" s="114" t="s">
        <v>599</v>
      </c>
      <c r="C8" s="422" t="s">
        <v>807</v>
      </c>
      <c r="D8" s="87" t="s">
        <v>401</v>
      </c>
      <c r="E8" s="299" t="s">
        <v>890</v>
      </c>
      <c r="F8" s="35" t="s">
        <v>707</v>
      </c>
      <c r="G8" s="52" t="s">
        <v>46</v>
      </c>
      <c r="H8" s="329">
        <v>44440</v>
      </c>
      <c r="I8" s="422"/>
      <c r="J8" s="330" t="s">
        <v>370</v>
      </c>
      <c r="K8" s="52">
        <v>44391</v>
      </c>
      <c r="L8" s="330">
        <v>44391</v>
      </c>
      <c r="M8" s="299">
        <v>44456</v>
      </c>
      <c r="N8" s="329">
        <v>44456</v>
      </c>
      <c r="O8" s="346" t="e">
        <f t="shared" si="4"/>
        <v>#VALUE!</v>
      </c>
      <c r="P8" s="301">
        <f t="shared" si="0"/>
        <v>65</v>
      </c>
      <c r="Q8" s="333">
        <f t="shared" si="0"/>
        <v>65</v>
      </c>
      <c r="R8" s="52" t="s">
        <v>370</v>
      </c>
      <c r="S8" s="329">
        <v>44530</v>
      </c>
      <c r="T8" s="87">
        <v>44706</v>
      </c>
      <c r="U8" s="50">
        <v>5.0166112956810638</v>
      </c>
      <c r="V8" s="50">
        <f t="shared" si="1"/>
        <v>5.8471760797342194</v>
      </c>
      <c r="W8" s="50"/>
      <c r="X8" s="52"/>
      <c r="Y8" s="50" t="s">
        <v>370</v>
      </c>
      <c r="Z8" s="182">
        <v>1180416.18</v>
      </c>
      <c r="AA8" s="211">
        <v>488349.41</v>
      </c>
      <c r="AB8" s="211">
        <v>162144.04999999999</v>
      </c>
      <c r="AC8" s="211">
        <v>91072.9</v>
      </c>
      <c r="AD8" s="211">
        <v>280084.05</v>
      </c>
      <c r="AE8" s="275">
        <v>150000</v>
      </c>
      <c r="AF8" s="275">
        <v>75000</v>
      </c>
      <c r="AG8" s="275">
        <v>63849.82</v>
      </c>
      <c r="AH8" s="58"/>
      <c r="AI8" s="58"/>
      <c r="AJ8" s="58"/>
      <c r="AK8" s="58"/>
      <c r="AL8" s="58"/>
      <c r="AM8" s="58"/>
      <c r="AN8" s="53"/>
      <c r="AO8" s="47"/>
      <c r="AP8" s="53">
        <f t="shared" si="2"/>
        <v>1310500.23</v>
      </c>
      <c r="AQ8" s="51"/>
      <c r="AR8" s="359">
        <f t="shared" si="3"/>
        <v>130084.05000000005</v>
      </c>
      <c r="AT8" s="55"/>
    </row>
    <row r="9" spans="1:46" s="36" customFormat="1" ht="15.75" x14ac:dyDescent="0.25">
      <c r="A9" s="113" t="s">
        <v>486</v>
      </c>
      <c r="B9" s="114" t="s">
        <v>601</v>
      </c>
      <c r="C9" s="464" t="s">
        <v>807</v>
      </c>
      <c r="D9" s="87" t="s">
        <v>401</v>
      </c>
      <c r="E9" s="299" t="s">
        <v>890</v>
      </c>
      <c r="F9" s="114" t="s">
        <v>705</v>
      </c>
      <c r="G9" s="87" t="s">
        <v>46</v>
      </c>
      <c r="H9" s="329">
        <v>44519</v>
      </c>
      <c r="I9" s="464"/>
      <c r="J9" s="329" t="s">
        <v>370</v>
      </c>
      <c r="K9" s="87">
        <v>44508</v>
      </c>
      <c r="L9" s="329">
        <v>44508</v>
      </c>
      <c r="M9" s="298">
        <v>44539</v>
      </c>
      <c r="N9" s="329">
        <v>44539</v>
      </c>
      <c r="O9" s="346" t="e">
        <f t="shared" si="4"/>
        <v>#VALUE!</v>
      </c>
      <c r="P9" s="301">
        <f t="shared" si="0"/>
        <v>31</v>
      </c>
      <c r="Q9" s="346">
        <f t="shared" si="0"/>
        <v>31</v>
      </c>
      <c r="R9" s="87" t="s">
        <v>370</v>
      </c>
      <c r="S9" s="329">
        <v>44609</v>
      </c>
      <c r="T9" s="87">
        <v>44713</v>
      </c>
      <c r="U9" s="50">
        <v>3.0000000000000968</v>
      </c>
      <c r="V9" s="50">
        <f t="shared" si="1"/>
        <v>3.45514950166113</v>
      </c>
      <c r="W9" s="50"/>
      <c r="X9" s="52"/>
      <c r="Y9" s="50" t="s">
        <v>370</v>
      </c>
      <c r="Z9" s="182">
        <v>253338.08</v>
      </c>
      <c r="AA9" s="211">
        <v>95915.97</v>
      </c>
      <c r="AB9" s="211">
        <v>0</v>
      </c>
      <c r="AC9" s="211">
        <v>69507.91</v>
      </c>
      <c r="AD9" s="211">
        <v>48892.5</v>
      </c>
      <c r="AE9" s="275">
        <v>35000</v>
      </c>
      <c r="AF9" s="275">
        <v>15000</v>
      </c>
      <c r="AG9" s="275">
        <v>2914.2</v>
      </c>
      <c r="AH9" s="58"/>
      <c r="AI9" s="58"/>
      <c r="AJ9" s="58"/>
      <c r="AK9" s="58"/>
      <c r="AL9" s="58"/>
      <c r="AM9" s="58"/>
      <c r="AN9" s="53"/>
      <c r="AO9" s="47"/>
      <c r="AP9" s="53">
        <f t="shared" si="2"/>
        <v>267230.58</v>
      </c>
      <c r="AQ9" s="51"/>
      <c r="AR9" s="359">
        <f t="shared" si="3"/>
        <v>13892.500000000029</v>
      </c>
      <c r="AT9" s="55"/>
    </row>
    <row r="10" spans="1:46" s="452" customFormat="1" ht="15.75" x14ac:dyDescent="0.25">
      <c r="A10" s="113" t="s">
        <v>679</v>
      </c>
      <c r="B10" s="114" t="s">
        <v>600</v>
      </c>
      <c r="C10" s="464" t="s">
        <v>807</v>
      </c>
      <c r="D10" s="87" t="s">
        <v>401</v>
      </c>
      <c r="E10" s="299" t="s">
        <v>890</v>
      </c>
      <c r="F10" s="35" t="s">
        <v>706</v>
      </c>
      <c r="G10" s="52" t="s">
        <v>46</v>
      </c>
      <c r="H10" s="329">
        <v>44519</v>
      </c>
      <c r="I10" s="464"/>
      <c r="J10" s="330" t="s">
        <v>370</v>
      </c>
      <c r="K10" s="52">
        <v>44536</v>
      </c>
      <c r="L10" s="330">
        <v>44536</v>
      </c>
      <c r="M10" s="299">
        <v>44575</v>
      </c>
      <c r="N10" s="329">
        <v>44589</v>
      </c>
      <c r="O10" s="346" t="e">
        <f t="shared" si="4"/>
        <v>#VALUE!</v>
      </c>
      <c r="P10" s="301">
        <f t="shared" si="0"/>
        <v>39</v>
      </c>
      <c r="Q10" s="333">
        <f t="shared" si="0"/>
        <v>53</v>
      </c>
      <c r="R10" s="52" t="s">
        <v>370</v>
      </c>
      <c r="S10" s="329">
        <v>44606</v>
      </c>
      <c r="T10" s="52">
        <v>44692</v>
      </c>
      <c r="U10" s="50">
        <v>3.5548172757475087</v>
      </c>
      <c r="V10" s="50">
        <f t="shared" si="1"/>
        <v>2.8571428571428577</v>
      </c>
      <c r="W10" s="50"/>
      <c r="X10" s="52"/>
      <c r="Y10" s="50" t="s">
        <v>370</v>
      </c>
      <c r="Z10" s="182">
        <v>402660.29</v>
      </c>
      <c r="AA10" s="211">
        <v>34445.589999999997</v>
      </c>
      <c r="AB10" s="211">
        <v>0</v>
      </c>
      <c r="AC10" s="211">
        <v>54102</v>
      </c>
      <c r="AD10" s="211">
        <v>0</v>
      </c>
      <c r="AE10" s="275">
        <v>80000</v>
      </c>
      <c r="AF10" s="275">
        <v>80000</v>
      </c>
      <c r="AG10" s="275">
        <v>79112.7</v>
      </c>
      <c r="AH10" s="58"/>
      <c r="AI10" s="58"/>
      <c r="AJ10" s="58"/>
      <c r="AK10" s="58"/>
      <c r="AL10" s="58"/>
      <c r="AM10" s="58"/>
      <c r="AN10" s="53"/>
      <c r="AO10" s="47"/>
      <c r="AP10" s="53">
        <f t="shared" si="2"/>
        <v>327660.28999999998</v>
      </c>
      <c r="AQ10" s="51"/>
      <c r="AR10" s="359">
        <f t="shared" si="3"/>
        <v>-75000</v>
      </c>
      <c r="AS10" s="36"/>
      <c r="AT10" s="55"/>
    </row>
    <row r="11" spans="1:46" s="36" customFormat="1" ht="15.75" x14ac:dyDescent="0.25">
      <c r="A11" s="374" t="s">
        <v>734</v>
      </c>
      <c r="B11" s="375" t="s">
        <v>926</v>
      </c>
      <c r="C11" s="422" t="s">
        <v>856</v>
      </c>
      <c r="D11" s="52" t="s">
        <v>402</v>
      </c>
      <c r="E11" s="299" t="s">
        <v>890</v>
      </c>
      <c r="F11" s="35" t="s">
        <v>701</v>
      </c>
      <c r="G11" s="52" t="s">
        <v>46</v>
      </c>
      <c r="H11" s="329">
        <v>44624</v>
      </c>
      <c r="I11" s="422"/>
      <c r="J11" s="87">
        <v>44652</v>
      </c>
      <c r="K11" s="87">
        <v>44580</v>
      </c>
      <c r="L11" s="329">
        <v>44593</v>
      </c>
      <c r="M11" s="52">
        <v>44625</v>
      </c>
      <c r="N11" s="298">
        <v>44657</v>
      </c>
      <c r="O11" s="301">
        <f t="shared" si="4"/>
        <v>5</v>
      </c>
      <c r="P11" s="50">
        <f t="shared" si="0"/>
        <v>45</v>
      </c>
      <c r="Q11" s="50">
        <f t="shared" si="0"/>
        <v>64</v>
      </c>
      <c r="R11" s="52" t="s">
        <v>320</v>
      </c>
      <c r="S11" s="376">
        <f>N11+15</f>
        <v>44672</v>
      </c>
      <c r="T11" s="87">
        <f>S11+(6*4.3*7)</f>
        <v>44852.6</v>
      </c>
      <c r="U11" s="50">
        <v>5.999999999999952</v>
      </c>
      <c r="V11" s="50">
        <f t="shared" si="1"/>
        <v>5.999999999999952</v>
      </c>
      <c r="W11" s="50"/>
      <c r="X11" s="52"/>
      <c r="Y11" s="50"/>
      <c r="Z11" s="53">
        <v>750000</v>
      </c>
      <c r="AA11" s="211">
        <v>0</v>
      </c>
      <c r="AB11" s="211">
        <v>0</v>
      </c>
      <c r="AC11" s="211">
        <v>0</v>
      </c>
      <c r="AD11" s="211">
        <v>0</v>
      </c>
      <c r="AE11" s="275">
        <v>125000</v>
      </c>
      <c r="AF11" s="275">
        <v>150000</v>
      </c>
      <c r="AG11" s="275">
        <v>150000</v>
      </c>
      <c r="AH11" s="275">
        <v>140000</v>
      </c>
      <c r="AI11" s="275">
        <v>60000</v>
      </c>
      <c r="AJ11" s="58"/>
      <c r="AK11" s="58"/>
      <c r="AL11" s="58"/>
      <c r="AM11" s="58"/>
      <c r="AN11" s="53"/>
      <c r="AO11" s="47"/>
      <c r="AP11" s="53">
        <f t="shared" si="2"/>
        <v>625000</v>
      </c>
      <c r="AQ11" s="51"/>
      <c r="AR11" s="359">
        <f t="shared" si="3"/>
        <v>-125000</v>
      </c>
      <c r="AT11" s="55"/>
    </row>
    <row r="12" spans="1:46" s="36" customFormat="1" ht="15.75" x14ac:dyDescent="0.25">
      <c r="A12" s="113" t="s">
        <v>868</v>
      </c>
      <c r="B12" s="114" t="s">
        <v>869</v>
      </c>
      <c r="C12" s="432" t="s">
        <v>810</v>
      </c>
      <c r="D12" s="87" t="s">
        <v>401</v>
      </c>
      <c r="E12" s="299" t="s">
        <v>890</v>
      </c>
      <c r="F12" s="114" t="s">
        <v>643</v>
      </c>
      <c r="G12" s="87" t="s">
        <v>46</v>
      </c>
      <c r="H12" s="329">
        <v>44545</v>
      </c>
      <c r="I12" s="432"/>
      <c r="J12" s="329" t="s">
        <v>370</v>
      </c>
      <c r="K12" s="87">
        <v>44512</v>
      </c>
      <c r="L12" s="329">
        <v>44512</v>
      </c>
      <c r="M12" s="298">
        <v>44567</v>
      </c>
      <c r="N12" s="329">
        <v>44560</v>
      </c>
      <c r="O12" s="346" t="e">
        <f t="shared" si="4"/>
        <v>#VALUE!</v>
      </c>
      <c r="P12" s="301">
        <f t="shared" si="0"/>
        <v>55</v>
      </c>
      <c r="Q12" s="346">
        <f t="shared" si="0"/>
        <v>48</v>
      </c>
      <c r="R12" s="87" t="s">
        <v>370</v>
      </c>
      <c r="S12" s="329">
        <v>44572</v>
      </c>
      <c r="T12" s="52">
        <v>44805</v>
      </c>
      <c r="U12" s="50">
        <v>6.9999999999999041</v>
      </c>
      <c r="V12" s="50">
        <f t="shared" si="1"/>
        <v>7.7408637873754156</v>
      </c>
      <c r="W12" s="50"/>
      <c r="X12" s="52"/>
      <c r="Y12" s="50" t="s">
        <v>370</v>
      </c>
      <c r="Z12" s="182">
        <v>1353098.44</v>
      </c>
      <c r="AA12" s="211">
        <v>86613.87</v>
      </c>
      <c r="AB12" s="211">
        <v>120514.88</v>
      </c>
      <c r="AC12" s="211">
        <v>152425.41999999998</v>
      </c>
      <c r="AD12" s="211">
        <v>0</v>
      </c>
      <c r="AE12" s="275">
        <v>150000</v>
      </c>
      <c r="AF12" s="275">
        <v>150000</v>
      </c>
      <c r="AG12" s="275">
        <v>150000</v>
      </c>
      <c r="AH12" s="275">
        <v>175000</v>
      </c>
      <c r="AI12" s="275">
        <v>175000</v>
      </c>
      <c r="AJ12" s="275">
        <v>43544.27</v>
      </c>
      <c r="AK12" s="58"/>
      <c r="AL12" s="58"/>
      <c r="AM12" s="58"/>
      <c r="AN12" s="53"/>
      <c r="AO12" s="47"/>
      <c r="AP12" s="53">
        <f t="shared" si="2"/>
        <v>1203098.44</v>
      </c>
      <c r="AQ12" s="51"/>
      <c r="AR12" s="359">
        <f t="shared" si="3"/>
        <v>-150000</v>
      </c>
    </row>
    <row r="13" spans="1:46" s="36" customFormat="1" ht="15.75" x14ac:dyDescent="0.25">
      <c r="A13" s="374" t="s">
        <v>764</v>
      </c>
      <c r="B13" s="375" t="s">
        <v>765</v>
      </c>
      <c r="C13" s="52" t="s">
        <v>829</v>
      </c>
      <c r="D13" s="52" t="s">
        <v>401</v>
      </c>
      <c r="E13" s="52" t="s">
        <v>890</v>
      </c>
      <c r="F13" s="34"/>
      <c r="G13" s="52" t="s">
        <v>912</v>
      </c>
      <c r="H13" s="330">
        <v>44615</v>
      </c>
      <c r="I13" s="52"/>
      <c r="J13" s="329">
        <v>44610</v>
      </c>
      <c r="K13" s="87">
        <v>44591</v>
      </c>
      <c r="L13" s="329">
        <v>44593</v>
      </c>
      <c r="M13" s="52">
        <v>44621</v>
      </c>
      <c r="N13" s="329">
        <v>44609</v>
      </c>
      <c r="O13" s="346">
        <f t="shared" si="4"/>
        <v>-1</v>
      </c>
      <c r="P13" s="50">
        <f t="shared" si="0"/>
        <v>30</v>
      </c>
      <c r="Q13" s="50">
        <f t="shared" si="0"/>
        <v>16</v>
      </c>
      <c r="R13" s="52" t="s">
        <v>370</v>
      </c>
      <c r="S13" s="377">
        <v>44636</v>
      </c>
      <c r="T13" s="490">
        <v>44867</v>
      </c>
      <c r="U13" s="50">
        <v>9.0000000000000497</v>
      </c>
      <c r="V13" s="50">
        <f t="shared" si="1"/>
        <v>7.6744186046511631</v>
      </c>
      <c r="W13" s="50"/>
      <c r="X13" s="52"/>
      <c r="Y13" s="50"/>
      <c r="Z13" s="53">
        <v>1360000</v>
      </c>
      <c r="AA13" s="211">
        <v>0</v>
      </c>
      <c r="AB13" s="211">
        <v>0</v>
      </c>
      <c r="AC13" s="211">
        <v>170543</v>
      </c>
      <c r="AD13" s="211">
        <v>136059.07</v>
      </c>
      <c r="AE13" s="275">
        <v>150000</v>
      </c>
      <c r="AF13" s="275">
        <v>150000</v>
      </c>
      <c r="AG13" s="275">
        <v>150000</v>
      </c>
      <c r="AH13" s="275">
        <v>150000</v>
      </c>
      <c r="AI13" s="275">
        <v>150000</v>
      </c>
      <c r="AJ13" s="275">
        <v>150000</v>
      </c>
      <c r="AK13" s="275">
        <v>139457</v>
      </c>
      <c r="AL13" s="58"/>
      <c r="AM13" s="58"/>
      <c r="AN13" s="53"/>
      <c r="AO13" s="47"/>
      <c r="AP13" s="53">
        <f t="shared" si="2"/>
        <v>1346059.07</v>
      </c>
      <c r="AQ13" s="51"/>
      <c r="AR13" s="359">
        <f t="shared" si="3"/>
        <v>-13940.929999999935</v>
      </c>
      <c r="AT13" s="55"/>
    </row>
    <row r="14" spans="1:46" s="36" customFormat="1" ht="15.75" x14ac:dyDescent="0.25">
      <c r="A14" s="386" t="s">
        <v>768</v>
      </c>
      <c r="B14" s="393" t="s">
        <v>909</v>
      </c>
      <c r="C14" s="52" t="s">
        <v>829</v>
      </c>
      <c r="D14" s="52" t="s">
        <v>401</v>
      </c>
      <c r="E14" s="52" t="s">
        <v>890</v>
      </c>
      <c r="F14" s="34"/>
      <c r="G14" s="52" t="s">
        <v>912</v>
      </c>
      <c r="H14" s="330">
        <v>44615</v>
      </c>
      <c r="I14" s="52"/>
      <c r="J14" s="329">
        <v>44610</v>
      </c>
      <c r="K14" s="87">
        <v>44591</v>
      </c>
      <c r="L14" s="329">
        <v>44593</v>
      </c>
      <c r="M14" s="52">
        <v>44636</v>
      </c>
      <c r="N14" s="329">
        <v>44609</v>
      </c>
      <c r="O14" s="346">
        <f t="shared" si="4"/>
        <v>-1</v>
      </c>
      <c r="P14" s="50">
        <f t="shared" si="0"/>
        <v>45</v>
      </c>
      <c r="Q14" s="50">
        <f t="shared" si="0"/>
        <v>16</v>
      </c>
      <c r="R14" s="52" t="s">
        <v>370</v>
      </c>
      <c r="S14" s="376">
        <f>N14+75</f>
        <v>44684</v>
      </c>
      <c r="T14" s="87">
        <f>S14+(6*4.3*7)</f>
        <v>44864.6</v>
      </c>
      <c r="U14" s="491">
        <v>5</v>
      </c>
      <c r="V14" s="50">
        <f t="shared" si="1"/>
        <v>5.999999999999952</v>
      </c>
      <c r="W14" s="50"/>
      <c r="X14" s="52"/>
      <c r="Y14" s="50"/>
      <c r="Z14" s="53">
        <v>175000</v>
      </c>
      <c r="AA14" s="211">
        <v>0</v>
      </c>
      <c r="AB14" s="211">
        <v>0</v>
      </c>
      <c r="AC14" s="211">
        <v>0</v>
      </c>
      <c r="AD14" s="211">
        <v>0</v>
      </c>
      <c r="AE14" s="58"/>
      <c r="AF14" s="275">
        <v>15000</v>
      </c>
      <c r="AG14" s="275">
        <v>15000</v>
      </c>
      <c r="AH14" s="275">
        <v>20000</v>
      </c>
      <c r="AI14" s="275">
        <v>50000</v>
      </c>
      <c r="AJ14" s="275">
        <v>50000</v>
      </c>
      <c r="AK14" s="275">
        <v>25000</v>
      </c>
      <c r="AL14" s="58"/>
      <c r="AM14" s="58"/>
      <c r="AN14" s="53"/>
      <c r="AO14" s="47"/>
      <c r="AP14" s="53">
        <f t="shared" si="2"/>
        <v>175000</v>
      </c>
      <c r="AQ14" s="51"/>
      <c r="AR14" s="359">
        <f t="shared" si="3"/>
        <v>0</v>
      </c>
      <c r="AT14" s="55"/>
    </row>
    <row r="15" spans="1:46" s="36" customFormat="1" ht="15.75" x14ac:dyDescent="0.25">
      <c r="A15" s="374" t="s">
        <v>770</v>
      </c>
      <c r="B15" s="375" t="s">
        <v>910</v>
      </c>
      <c r="C15" s="52" t="s">
        <v>829</v>
      </c>
      <c r="D15" s="52" t="s">
        <v>401</v>
      </c>
      <c r="E15" s="52" t="s">
        <v>890</v>
      </c>
      <c r="F15" s="34"/>
      <c r="G15" s="52" t="s">
        <v>912</v>
      </c>
      <c r="H15" s="330">
        <v>44615</v>
      </c>
      <c r="I15" s="52"/>
      <c r="J15" s="329">
        <v>44610</v>
      </c>
      <c r="K15" s="87">
        <v>44591</v>
      </c>
      <c r="L15" s="329">
        <v>44593</v>
      </c>
      <c r="M15" s="52">
        <v>44636</v>
      </c>
      <c r="N15" s="329">
        <v>44609</v>
      </c>
      <c r="O15" s="346">
        <f t="shared" si="4"/>
        <v>-1</v>
      </c>
      <c r="P15" s="50">
        <f t="shared" si="0"/>
        <v>45</v>
      </c>
      <c r="Q15" s="50">
        <f t="shared" si="0"/>
        <v>16</v>
      </c>
      <c r="R15" s="52" t="s">
        <v>370</v>
      </c>
      <c r="S15" s="376">
        <f>N15+75</f>
        <v>44684</v>
      </c>
      <c r="T15" s="87">
        <f>S15+(6*4.3*7)</f>
        <v>44864.6</v>
      </c>
      <c r="U15" s="491">
        <v>5</v>
      </c>
      <c r="V15" s="50">
        <f t="shared" si="1"/>
        <v>5.999999999999952</v>
      </c>
      <c r="W15" s="50"/>
      <c r="X15" s="330">
        <v>44656</v>
      </c>
      <c r="Y15" s="50"/>
      <c r="Z15" s="53">
        <v>300000</v>
      </c>
      <c r="AA15" s="211">
        <v>0</v>
      </c>
      <c r="AB15" s="211">
        <v>0</v>
      </c>
      <c r="AC15" s="211">
        <v>0</v>
      </c>
      <c r="AD15" s="211">
        <v>0</v>
      </c>
      <c r="AE15" s="58"/>
      <c r="AF15" s="275">
        <v>50000</v>
      </c>
      <c r="AG15" s="275">
        <v>50000</v>
      </c>
      <c r="AH15" s="275">
        <v>50000</v>
      </c>
      <c r="AI15" s="275">
        <v>75000</v>
      </c>
      <c r="AJ15" s="275">
        <v>50000</v>
      </c>
      <c r="AK15" s="275">
        <v>25000</v>
      </c>
      <c r="AL15" s="58"/>
      <c r="AM15" s="58"/>
      <c r="AN15" s="53"/>
      <c r="AO15" s="47"/>
      <c r="AP15" s="53">
        <f t="shared" si="2"/>
        <v>300000</v>
      </c>
      <c r="AQ15" s="51"/>
      <c r="AR15" s="359">
        <f t="shared" si="3"/>
        <v>0</v>
      </c>
    </row>
    <row r="16" spans="1:46" s="36" customFormat="1" ht="15.75" x14ac:dyDescent="0.25">
      <c r="A16" s="374" t="s">
        <v>771</v>
      </c>
      <c r="B16" s="410" t="s">
        <v>939</v>
      </c>
      <c r="C16" s="52" t="s">
        <v>829</v>
      </c>
      <c r="D16" s="52" t="s">
        <v>401</v>
      </c>
      <c r="E16" s="52" t="s">
        <v>890</v>
      </c>
      <c r="F16" s="34"/>
      <c r="G16" s="52" t="s">
        <v>623</v>
      </c>
      <c r="H16" s="330" t="s">
        <v>320</v>
      </c>
      <c r="I16" s="52"/>
      <c r="J16" s="329">
        <v>44610</v>
      </c>
      <c r="K16" s="87">
        <v>44591</v>
      </c>
      <c r="L16" s="329">
        <v>44713</v>
      </c>
      <c r="M16" s="52">
        <v>44636</v>
      </c>
      <c r="N16" s="87">
        <f>L16+45</f>
        <v>44758</v>
      </c>
      <c r="O16" s="88">
        <f t="shared" si="4"/>
        <v>148</v>
      </c>
      <c r="P16" s="50">
        <f t="shared" si="0"/>
        <v>45</v>
      </c>
      <c r="Q16" s="50">
        <f t="shared" si="0"/>
        <v>45</v>
      </c>
      <c r="R16" s="52" t="s">
        <v>320</v>
      </c>
      <c r="S16" s="376">
        <f>N16+30</f>
        <v>44788</v>
      </c>
      <c r="T16" s="490">
        <f>S16+(4*4.3*7)</f>
        <v>44908.4</v>
      </c>
      <c r="U16" s="491">
        <v>5</v>
      </c>
      <c r="V16" s="50">
        <f t="shared" si="1"/>
        <v>4.0000000000000488</v>
      </c>
      <c r="W16" s="50"/>
      <c r="X16" s="52"/>
      <c r="Y16" s="50"/>
      <c r="Z16" s="53">
        <v>95000</v>
      </c>
      <c r="AA16" s="211">
        <v>0</v>
      </c>
      <c r="AB16" s="211">
        <v>0</v>
      </c>
      <c r="AC16" s="211">
        <v>0</v>
      </c>
      <c r="AD16" s="211">
        <v>0</v>
      </c>
      <c r="AE16" s="58"/>
      <c r="AF16" s="58"/>
      <c r="AG16" s="58"/>
      <c r="AH16" s="58"/>
      <c r="AI16" s="275">
        <v>30000</v>
      </c>
      <c r="AJ16" s="275">
        <v>35000</v>
      </c>
      <c r="AK16" s="275">
        <v>30000</v>
      </c>
      <c r="AL16" s="58"/>
      <c r="AM16" s="58"/>
      <c r="AN16" s="53"/>
      <c r="AO16" s="47"/>
      <c r="AP16" s="53">
        <f t="shared" si="2"/>
        <v>95000</v>
      </c>
      <c r="AQ16" s="51"/>
      <c r="AR16" s="359">
        <f t="shared" si="3"/>
        <v>0</v>
      </c>
      <c r="AT16" s="55"/>
    </row>
    <row r="17" spans="1:46" s="36" customFormat="1" ht="15.75" x14ac:dyDescent="0.25">
      <c r="A17" s="374" t="s">
        <v>916</v>
      </c>
      <c r="B17" s="410" t="s">
        <v>766</v>
      </c>
      <c r="C17" s="432" t="s">
        <v>830</v>
      </c>
      <c r="D17" s="52" t="s">
        <v>401</v>
      </c>
      <c r="E17" s="422" t="s">
        <v>892</v>
      </c>
      <c r="F17" s="57"/>
      <c r="G17" s="52" t="s">
        <v>46</v>
      </c>
      <c r="H17" s="329">
        <v>44621</v>
      </c>
      <c r="I17" s="432"/>
      <c r="J17" s="329">
        <v>44616</v>
      </c>
      <c r="K17" s="87">
        <v>44601</v>
      </c>
      <c r="L17" s="329">
        <v>44593</v>
      </c>
      <c r="M17" s="87">
        <v>44646</v>
      </c>
      <c r="N17" s="329">
        <v>44623</v>
      </c>
      <c r="O17" s="346">
        <f>N17-J17</f>
        <v>7</v>
      </c>
      <c r="P17" s="50">
        <f>M17-K17</f>
        <v>45</v>
      </c>
      <c r="Q17" s="333">
        <f>N17-L17</f>
        <v>30</v>
      </c>
      <c r="R17" s="52" t="s">
        <v>370</v>
      </c>
      <c r="S17" s="377">
        <v>44648</v>
      </c>
      <c r="T17" s="52">
        <f>S17+(9*4.3*7)</f>
        <v>44918.9</v>
      </c>
      <c r="U17" s="50">
        <v>9.0000000000000497</v>
      </c>
      <c r="V17" s="50">
        <f>((T17-S17)/7)/4.3</f>
        <v>9.0000000000000497</v>
      </c>
      <c r="W17" s="50"/>
      <c r="X17" s="52"/>
      <c r="Y17" s="50"/>
      <c r="Z17" s="53">
        <v>1200000</v>
      </c>
      <c r="AA17" s="211">
        <v>0</v>
      </c>
      <c r="AB17" s="211">
        <v>0</v>
      </c>
      <c r="AC17" s="211">
        <v>129788.5</v>
      </c>
      <c r="AD17" s="211">
        <v>138269.44</v>
      </c>
      <c r="AE17" s="275">
        <v>100000</v>
      </c>
      <c r="AF17" s="275">
        <v>100000</v>
      </c>
      <c r="AG17" s="275">
        <v>100000</v>
      </c>
      <c r="AH17" s="275">
        <v>125000</v>
      </c>
      <c r="AI17" s="275">
        <v>125000</v>
      </c>
      <c r="AJ17" s="275">
        <v>125000</v>
      </c>
      <c r="AK17" s="275">
        <v>125000</v>
      </c>
      <c r="AL17" s="275">
        <v>125000</v>
      </c>
      <c r="AM17" s="275">
        <v>45211.5</v>
      </c>
      <c r="AN17" s="53"/>
      <c r="AO17" s="47"/>
      <c r="AP17" s="53">
        <f>SUM(AA17:AO17)</f>
        <v>1238269.4399999999</v>
      </c>
      <c r="AQ17" s="51"/>
      <c r="AR17" s="359">
        <f>AP17-Z17</f>
        <v>38269.439999999944</v>
      </c>
      <c r="AT17" s="55"/>
    </row>
    <row r="18" spans="1:46" s="36" customFormat="1" ht="15.75" x14ac:dyDescent="0.25">
      <c r="A18" s="374" t="s">
        <v>919</v>
      </c>
      <c r="B18" s="374" t="s">
        <v>935</v>
      </c>
      <c r="C18" s="406" t="s">
        <v>830</v>
      </c>
      <c r="D18" s="406" t="s">
        <v>401</v>
      </c>
      <c r="E18" s="394" t="s">
        <v>892</v>
      </c>
      <c r="F18" s="407"/>
      <c r="G18" s="52" t="s">
        <v>623</v>
      </c>
      <c r="H18" s="87" t="s">
        <v>320</v>
      </c>
      <c r="I18" s="406"/>
      <c r="J18" s="329">
        <v>44616</v>
      </c>
      <c r="K18" s="87">
        <v>44601</v>
      </c>
      <c r="L18" s="87">
        <v>44743</v>
      </c>
      <c r="M18" s="87">
        <v>44646</v>
      </c>
      <c r="N18" s="87">
        <f>L18+45</f>
        <v>44788</v>
      </c>
      <c r="O18" s="88">
        <f>N18-J18</f>
        <v>172</v>
      </c>
      <c r="P18" s="50">
        <f>M18-K18</f>
        <v>45</v>
      </c>
      <c r="Q18" s="50">
        <f>N18-L18</f>
        <v>45</v>
      </c>
      <c r="R18" s="52" t="s">
        <v>320</v>
      </c>
      <c r="S18" s="376">
        <f>N18+30</f>
        <v>44818</v>
      </c>
      <c r="T18" s="52">
        <f>S18+(4*4.3*7)</f>
        <v>44938.400000000001</v>
      </c>
      <c r="U18" s="88">
        <v>4</v>
      </c>
      <c r="V18" s="50">
        <f>((T18-S18)/7)/4.3</f>
        <v>4.0000000000000488</v>
      </c>
      <c r="W18" s="50"/>
      <c r="X18" s="52"/>
      <c r="Y18" s="50"/>
      <c r="Z18" s="53"/>
      <c r="AA18" s="211">
        <v>0</v>
      </c>
      <c r="AB18" s="211">
        <v>0</v>
      </c>
      <c r="AC18" s="211">
        <v>0</v>
      </c>
      <c r="AD18" s="211">
        <v>0</v>
      </c>
      <c r="AE18" s="58"/>
      <c r="AF18" s="58"/>
      <c r="AG18" s="58"/>
      <c r="AH18" s="58"/>
      <c r="AI18" s="58"/>
      <c r="AJ18" s="58"/>
      <c r="AK18" s="58"/>
      <c r="AL18" s="58"/>
      <c r="AM18" s="58"/>
      <c r="AN18" s="53"/>
      <c r="AO18" s="47"/>
      <c r="AP18" s="53">
        <f>SUM(AA18:AO18)</f>
        <v>0</v>
      </c>
      <c r="AQ18" s="51"/>
      <c r="AR18" s="359">
        <f>AP18-Z18</f>
        <v>0</v>
      </c>
    </row>
    <row r="19" spans="1:46" s="36" customFormat="1" ht="15.75" x14ac:dyDescent="0.25">
      <c r="A19" s="374" t="s">
        <v>917</v>
      </c>
      <c r="B19" s="375" t="s">
        <v>914</v>
      </c>
      <c r="C19" s="87" t="s">
        <v>830</v>
      </c>
      <c r="D19" s="52" t="s">
        <v>401</v>
      </c>
      <c r="E19" s="52" t="s">
        <v>892</v>
      </c>
      <c r="F19" s="56"/>
      <c r="G19" s="52" t="s">
        <v>912</v>
      </c>
      <c r="H19" s="329">
        <v>44621</v>
      </c>
      <c r="I19" s="87"/>
      <c r="J19" s="329">
        <v>44616</v>
      </c>
      <c r="K19" s="87">
        <v>44601</v>
      </c>
      <c r="L19" s="329">
        <v>44638</v>
      </c>
      <c r="M19" s="87">
        <v>44646</v>
      </c>
      <c r="N19" s="87">
        <v>44664</v>
      </c>
      <c r="O19" s="88">
        <f t="shared" si="4"/>
        <v>48</v>
      </c>
      <c r="P19" s="50">
        <f t="shared" si="0"/>
        <v>45</v>
      </c>
      <c r="Q19" s="50">
        <f t="shared" si="0"/>
        <v>26</v>
      </c>
      <c r="R19" s="52" t="s">
        <v>320</v>
      </c>
      <c r="S19" s="376">
        <f>N19+30</f>
        <v>44694</v>
      </c>
      <c r="T19" s="87">
        <f>S19+(4*4.3*7)</f>
        <v>44814.400000000001</v>
      </c>
      <c r="U19" s="88">
        <v>4</v>
      </c>
      <c r="V19" s="50">
        <f t="shared" si="1"/>
        <v>4.0000000000000488</v>
      </c>
      <c r="W19" s="50"/>
      <c r="X19" s="52"/>
      <c r="Y19" s="50"/>
      <c r="Z19" s="53">
        <v>300000</v>
      </c>
      <c r="AA19" s="211">
        <v>0</v>
      </c>
      <c r="AB19" s="211">
        <v>0</v>
      </c>
      <c r="AC19" s="211">
        <v>0</v>
      </c>
      <c r="AD19" s="211">
        <v>0</v>
      </c>
      <c r="AE19" s="58"/>
      <c r="AF19" s="58"/>
      <c r="AG19" s="58"/>
      <c r="AH19" s="58"/>
      <c r="AI19" s="58"/>
      <c r="AJ19" s="275">
        <v>50000</v>
      </c>
      <c r="AK19" s="275">
        <v>50000</v>
      </c>
      <c r="AL19" s="275">
        <v>75000</v>
      </c>
      <c r="AM19" s="275">
        <v>75000</v>
      </c>
      <c r="AN19" s="275">
        <v>50000</v>
      </c>
      <c r="AO19" s="47"/>
      <c r="AP19" s="53">
        <f t="shared" si="2"/>
        <v>300000</v>
      </c>
      <c r="AQ19" s="51"/>
      <c r="AR19" s="359">
        <f t="shared" si="3"/>
        <v>0</v>
      </c>
    </row>
    <row r="20" spans="1:46" s="36" customFormat="1" ht="15.75" x14ac:dyDescent="0.25">
      <c r="A20" s="374" t="s">
        <v>918</v>
      </c>
      <c r="B20" s="374" t="s">
        <v>915</v>
      </c>
      <c r="C20" s="406" t="s">
        <v>830</v>
      </c>
      <c r="D20" s="394" t="s">
        <v>401</v>
      </c>
      <c r="E20" s="394" t="s">
        <v>892</v>
      </c>
      <c r="F20" s="407"/>
      <c r="G20" s="52" t="s">
        <v>623</v>
      </c>
      <c r="H20" s="87" t="s">
        <v>320</v>
      </c>
      <c r="I20" s="406"/>
      <c r="J20" s="329">
        <v>44616</v>
      </c>
      <c r="K20" s="87">
        <v>44601</v>
      </c>
      <c r="L20" s="87">
        <v>44743</v>
      </c>
      <c r="M20" s="87">
        <v>44646</v>
      </c>
      <c r="N20" s="87">
        <f>L20+45</f>
        <v>44788</v>
      </c>
      <c r="O20" s="88">
        <f t="shared" si="4"/>
        <v>172</v>
      </c>
      <c r="P20" s="50">
        <f t="shared" si="0"/>
        <v>45</v>
      </c>
      <c r="Q20" s="50">
        <f t="shared" si="0"/>
        <v>45</v>
      </c>
      <c r="R20" s="52" t="s">
        <v>320</v>
      </c>
      <c r="S20" s="376">
        <f>N20+30</f>
        <v>44818</v>
      </c>
      <c r="T20" s="87">
        <f>S20+(4*4.3*7)</f>
        <v>44938.400000000001</v>
      </c>
      <c r="U20" s="88">
        <v>4</v>
      </c>
      <c r="V20" s="50">
        <f t="shared" si="1"/>
        <v>4.0000000000000488</v>
      </c>
      <c r="W20" s="50"/>
      <c r="X20" s="52"/>
      <c r="Y20" s="50"/>
      <c r="Z20" s="53"/>
      <c r="AA20" s="211">
        <v>0</v>
      </c>
      <c r="AB20" s="211">
        <v>0</v>
      </c>
      <c r="AC20" s="211">
        <v>0</v>
      </c>
      <c r="AD20" s="211">
        <v>0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53"/>
      <c r="AO20" s="47"/>
      <c r="AP20" s="53">
        <f t="shared" si="2"/>
        <v>0</v>
      </c>
      <c r="AQ20" s="51"/>
      <c r="AR20" s="359">
        <f t="shared" si="3"/>
        <v>0</v>
      </c>
    </row>
    <row r="21" spans="1:46" s="36" customFormat="1" ht="15.75" x14ac:dyDescent="0.25">
      <c r="A21" s="111" t="s">
        <v>224</v>
      </c>
      <c r="B21" s="112" t="s">
        <v>680</v>
      </c>
      <c r="C21" s="422" t="s">
        <v>474</v>
      </c>
      <c r="D21" s="87" t="s">
        <v>24</v>
      </c>
      <c r="E21" s="299" t="s">
        <v>890</v>
      </c>
      <c r="F21" s="61" t="s">
        <v>689</v>
      </c>
      <c r="G21" s="52" t="s">
        <v>46</v>
      </c>
      <c r="H21" s="329">
        <v>44501</v>
      </c>
      <c r="I21" s="422"/>
      <c r="J21" s="330" t="s">
        <v>370</v>
      </c>
      <c r="K21" s="87">
        <v>44365</v>
      </c>
      <c r="L21" s="330">
        <v>44365</v>
      </c>
      <c r="M21" s="299">
        <v>44489</v>
      </c>
      <c r="N21" s="329">
        <v>44489</v>
      </c>
      <c r="O21" s="346" t="e">
        <f t="shared" si="4"/>
        <v>#VALUE!</v>
      </c>
      <c r="P21" s="301">
        <f t="shared" si="0"/>
        <v>124</v>
      </c>
      <c r="Q21" s="333">
        <f t="shared" si="0"/>
        <v>124</v>
      </c>
      <c r="R21" s="52" t="s">
        <v>370</v>
      </c>
      <c r="S21" s="329">
        <f>N21+15</f>
        <v>44504</v>
      </c>
      <c r="T21" s="52">
        <v>44651</v>
      </c>
      <c r="U21" s="88">
        <v>4.8837209302325579</v>
      </c>
      <c r="V21" s="88">
        <f t="shared" si="1"/>
        <v>4.8837209302325579</v>
      </c>
      <c r="W21" s="88"/>
      <c r="X21" s="87"/>
      <c r="Y21" s="88" t="s">
        <v>370</v>
      </c>
      <c r="Z21" s="182">
        <v>1207444.74</v>
      </c>
      <c r="AA21" s="211">
        <v>527222.15999999992</v>
      </c>
      <c r="AB21" s="211">
        <v>0</v>
      </c>
      <c r="AC21" s="211">
        <v>255699</v>
      </c>
      <c r="AD21" s="211">
        <v>424523.58</v>
      </c>
      <c r="AE21" s="275">
        <v>74523.58</v>
      </c>
      <c r="AF21" s="58"/>
      <c r="AG21" s="58"/>
      <c r="AH21" s="58"/>
      <c r="AI21" s="58"/>
      <c r="AJ21" s="58"/>
      <c r="AK21" s="58"/>
      <c r="AL21" s="58"/>
      <c r="AM21" s="58"/>
      <c r="AN21" s="53"/>
      <c r="AO21" s="47"/>
      <c r="AP21" s="53">
        <f t="shared" si="2"/>
        <v>1281968.32</v>
      </c>
      <c r="AQ21" s="51"/>
      <c r="AR21" s="359">
        <f t="shared" si="3"/>
        <v>74523.580000000075</v>
      </c>
      <c r="AT21" s="55"/>
    </row>
    <row r="22" spans="1:46" s="36" customFormat="1" ht="15.75" x14ac:dyDescent="0.25">
      <c r="A22" s="443"/>
      <c r="B22" s="444"/>
      <c r="C22" s="446"/>
      <c r="D22" s="445"/>
      <c r="E22" s="446"/>
      <c r="F22" s="444"/>
      <c r="G22" s="445"/>
      <c r="H22" s="445"/>
      <c r="I22" s="446"/>
      <c r="J22" s="445"/>
      <c r="K22" s="445"/>
      <c r="L22" s="445"/>
      <c r="M22" s="445"/>
      <c r="N22" s="445"/>
      <c r="O22" s="447"/>
      <c r="P22" s="445"/>
      <c r="Q22" s="447"/>
      <c r="R22" s="445"/>
      <c r="S22" s="445"/>
      <c r="T22" s="445"/>
      <c r="U22" s="447"/>
      <c r="V22" s="445"/>
      <c r="W22" s="447"/>
      <c r="X22" s="445"/>
      <c r="Y22" s="447"/>
      <c r="Z22" s="448">
        <f t="shared" ref="Z22:AN22" si="5">SUBTOTAL(9,Z4:Z21)</f>
        <v>12450556.43</v>
      </c>
      <c r="AA22" s="243">
        <f t="shared" si="5"/>
        <v>4236658.5600000005</v>
      </c>
      <c r="AB22" s="243">
        <f t="shared" si="5"/>
        <v>530325.79</v>
      </c>
      <c r="AC22" s="243">
        <f t="shared" si="5"/>
        <v>961487.58</v>
      </c>
      <c r="AD22" s="448">
        <f t="shared" si="5"/>
        <v>1156818.76</v>
      </c>
      <c r="AE22" s="448">
        <f t="shared" si="5"/>
        <v>889523.58</v>
      </c>
      <c r="AF22" s="448">
        <f t="shared" si="5"/>
        <v>802908.75</v>
      </c>
      <c r="AG22" s="448">
        <f t="shared" si="5"/>
        <v>760876.72</v>
      </c>
      <c r="AH22" s="448">
        <f t="shared" si="5"/>
        <v>660000</v>
      </c>
      <c r="AI22" s="448">
        <f>SUBTOTAL(9,AI4:AI21)</f>
        <v>665000</v>
      </c>
      <c r="AJ22" s="448">
        <f t="shared" si="5"/>
        <v>503544.27</v>
      </c>
      <c r="AK22" s="448">
        <f t="shared" si="5"/>
        <v>394457</v>
      </c>
      <c r="AL22" s="448">
        <f t="shared" si="5"/>
        <v>200000</v>
      </c>
      <c r="AM22" s="448">
        <f t="shared" si="5"/>
        <v>120211.5</v>
      </c>
      <c r="AN22" s="448">
        <f t="shared" si="5"/>
        <v>50000</v>
      </c>
      <c r="AO22" s="449"/>
      <c r="AP22" s="448">
        <f>SUBTOTAL(9,AP4:AP21)</f>
        <v>11931812.510000002</v>
      </c>
      <c r="AQ22" s="450"/>
      <c r="AR22" s="451">
        <f t="shared" si="3"/>
        <v>-518743.91999999806</v>
      </c>
      <c r="AS22" s="453"/>
      <c r="AT22" s="452"/>
    </row>
    <row r="23" spans="1:46" s="36" customFormat="1" ht="15.75" x14ac:dyDescent="0.25">
      <c r="A23" s="381" t="s">
        <v>571</v>
      </c>
      <c r="B23" s="106"/>
      <c r="C23" s="420"/>
      <c r="D23" s="102"/>
      <c r="E23" s="420"/>
      <c r="F23" s="106"/>
      <c r="G23" s="102"/>
      <c r="H23" s="102"/>
      <c r="I23" s="420"/>
      <c r="J23" s="102"/>
      <c r="K23" s="102"/>
      <c r="L23" s="276"/>
      <c r="M23" s="276"/>
      <c r="N23" s="276"/>
      <c r="O23" s="84"/>
      <c r="P23" s="276"/>
      <c r="Q23" s="84"/>
      <c r="R23" s="102"/>
      <c r="S23" s="102"/>
      <c r="T23" s="102"/>
      <c r="U23" s="84"/>
      <c r="V23" s="102"/>
      <c r="W23" s="102"/>
      <c r="X23" s="276"/>
      <c r="Y23" s="102"/>
      <c r="Z23" s="102"/>
      <c r="AA23" s="495"/>
      <c r="AB23" s="495"/>
      <c r="AC23" s="495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47"/>
      <c r="AP23" s="103"/>
      <c r="AQ23" s="51"/>
      <c r="AR23" s="451">
        <f t="shared" si="3"/>
        <v>0</v>
      </c>
      <c r="AT23" s="55"/>
    </row>
    <row r="24" spans="1:46" s="36" customFormat="1" ht="15.75" x14ac:dyDescent="0.25">
      <c r="A24" s="319" t="s">
        <v>881</v>
      </c>
      <c r="B24" s="320" t="s">
        <v>913</v>
      </c>
      <c r="C24" s="425" t="s">
        <v>265</v>
      </c>
      <c r="D24" s="321" t="s">
        <v>873</v>
      </c>
      <c r="E24" s="425" t="s">
        <v>890</v>
      </c>
      <c r="F24" s="337" t="s">
        <v>264</v>
      </c>
      <c r="G24" s="321" t="s">
        <v>46</v>
      </c>
      <c r="H24" s="321">
        <v>44238</v>
      </c>
      <c r="I24" s="425"/>
      <c r="J24" s="332" t="s">
        <v>370</v>
      </c>
      <c r="K24" s="321">
        <v>44348</v>
      </c>
      <c r="L24" s="332">
        <v>44348</v>
      </c>
      <c r="M24" s="339">
        <v>44362</v>
      </c>
      <c r="N24" s="332">
        <v>44362</v>
      </c>
      <c r="O24" s="343" t="e">
        <f t="shared" ref="O24:O35" si="6">N24-J24</f>
        <v>#VALUE!</v>
      </c>
      <c r="P24" s="371">
        <f t="shared" ref="P24:Q26" si="7">M24-K24</f>
        <v>14</v>
      </c>
      <c r="Q24" s="343">
        <f t="shared" si="7"/>
        <v>14</v>
      </c>
      <c r="R24" s="321" t="s">
        <v>370</v>
      </c>
      <c r="S24" s="332">
        <v>44344</v>
      </c>
      <c r="T24" s="332">
        <v>44497</v>
      </c>
      <c r="U24" s="322">
        <v>5</v>
      </c>
      <c r="V24" s="343">
        <f>((T24-S24)/7)/4.3</f>
        <v>5.0830564784053163</v>
      </c>
      <c r="W24" s="322"/>
      <c r="X24" s="321"/>
      <c r="Y24" s="322" t="s">
        <v>370</v>
      </c>
      <c r="Z24" s="323">
        <v>89125</v>
      </c>
      <c r="AA24" s="211">
        <v>58100</v>
      </c>
      <c r="AB24" s="211">
        <v>0</v>
      </c>
      <c r="AC24" s="211">
        <v>0</v>
      </c>
      <c r="AD24" s="211">
        <v>80387.149999999994</v>
      </c>
      <c r="AE24" s="58"/>
      <c r="AF24" s="58"/>
      <c r="AG24" s="58"/>
      <c r="AH24" s="58"/>
      <c r="AI24" s="58"/>
      <c r="AJ24" s="58"/>
      <c r="AK24" s="58"/>
      <c r="AL24" s="58"/>
      <c r="AM24" s="58"/>
      <c r="AN24" s="53"/>
      <c r="AO24" s="47"/>
      <c r="AP24" s="53">
        <f>SUM(AA24:AO24)</f>
        <v>138487.15</v>
      </c>
      <c r="AQ24" s="51"/>
      <c r="AR24" s="359">
        <f>AP24-Z24</f>
        <v>49362.149999999994</v>
      </c>
    </row>
    <row r="25" spans="1:46" s="36" customFormat="1" ht="15.75" x14ac:dyDescent="0.25">
      <c r="A25" s="374" t="s">
        <v>266</v>
      </c>
      <c r="B25" s="374" t="s">
        <v>928</v>
      </c>
      <c r="C25" s="432" t="s">
        <v>833</v>
      </c>
      <c r="D25" s="52" t="s">
        <v>873</v>
      </c>
      <c r="E25" s="422" t="s">
        <v>890</v>
      </c>
      <c r="F25" s="57" t="s">
        <v>862</v>
      </c>
      <c r="G25" s="52" t="s">
        <v>623</v>
      </c>
      <c r="H25" s="52" t="s">
        <v>320</v>
      </c>
      <c r="I25" s="432"/>
      <c r="J25" s="87">
        <v>44681</v>
      </c>
      <c r="K25" s="87">
        <v>44601</v>
      </c>
      <c r="L25" s="329">
        <v>44655</v>
      </c>
      <c r="M25" s="87">
        <v>44620</v>
      </c>
      <c r="N25" s="87">
        <f>L25+30</f>
        <v>44685</v>
      </c>
      <c r="O25" s="88">
        <f>N25-J25</f>
        <v>4</v>
      </c>
      <c r="P25" s="50">
        <f>M25-K25</f>
        <v>19</v>
      </c>
      <c r="Q25" s="50">
        <f>N25-L25</f>
        <v>30</v>
      </c>
      <c r="R25" s="52" t="s">
        <v>320</v>
      </c>
      <c r="S25" s="376">
        <f>N25</f>
        <v>44685</v>
      </c>
      <c r="T25" s="87">
        <f>S25+150</f>
        <v>44835</v>
      </c>
      <c r="U25" s="88">
        <v>2.5249169435215948</v>
      </c>
      <c r="V25" s="88">
        <f>((T25-S25)/7)/4.3</f>
        <v>4.9833887043189371</v>
      </c>
      <c r="W25" s="50"/>
      <c r="X25" s="52"/>
      <c r="Y25" s="50"/>
      <c r="Z25" s="53">
        <v>725000</v>
      </c>
      <c r="AA25" s="211">
        <v>0</v>
      </c>
      <c r="AB25" s="211">
        <v>0</v>
      </c>
      <c r="AC25" s="211">
        <v>0</v>
      </c>
      <c r="AD25" s="211">
        <v>0</v>
      </c>
      <c r="AE25" s="275"/>
      <c r="AF25" s="275"/>
      <c r="AG25" s="275"/>
      <c r="AH25" s="275"/>
      <c r="AI25" s="275"/>
      <c r="AJ25" s="275"/>
      <c r="AK25" s="275"/>
      <c r="AL25" s="275"/>
      <c r="AM25" s="275">
        <v>725000</v>
      </c>
      <c r="AN25" s="53"/>
      <c r="AO25" s="47"/>
      <c r="AP25" s="53">
        <f>SUM(AA25:AO25)</f>
        <v>725000</v>
      </c>
      <c r="AQ25" s="51"/>
      <c r="AR25" s="359">
        <f>AP25-Z25</f>
        <v>0</v>
      </c>
    </row>
    <row r="26" spans="1:46" s="36" customFormat="1" ht="15.75" x14ac:dyDescent="0.25">
      <c r="A26" s="336" t="s">
        <v>60</v>
      </c>
      <c r="B26" s="337" t="s">
        <v>377</v>
      </c>
      <c r="C26" s="402" t="s">
        <v>64</v>
      </c>
      <c r="D26" s="402" t="s">
        <v>631</v>
      </c>
      <c r="E26" s="425" t="s">
        <v>24</v>
      </c>
      <c r="F26" s="337" t="s">
        <v>62</v>
      </c>
      <c r="G26" s="321" t="s">
        <v>46</v>
      </c>
      <c r="H26" s="332">
        <v>44105</v>
      </c>
      <c r="I26" s="402"/>
      <c r="J26" s="332" t="s">
        <v>370</v>
      </c>
      <c r="K26" s="321">
        <v>44054</v>
      </c>
      <c r="L26" s="332">
        <v>44054</v>
      </c>
      <c r="M26" s="339">
        <v>44147</v>
      </c>
      <c r="N26" s="332">
        <v>44147</v>
      </c>
      <c r="O26" s="343" t="e">
        <f t="shared" si="6"/>
        <v>#VALUE!</v>
      </c>
      <c r="P26" s="371">
        <f t="shared" si="7"/>
        <v>93</v>
      </c>
      <c r="Q26" s="343">
        <f t="shared" si="7"/>
        <v>93</v>
      </c>
      <c r="R26" s="321" t="s">
        <v>370</v>
      </c>
      <c r="S26" s="332">
        <v>44119</v>
      </c>
      <c r="T26" s="321">
        <v>44531</v>
      </c>
      <c r="U26" s="322">
        <v>14</v>
      </c>
      <c r="V26" s="322">
        <f t="shared" ref="V26" si="8">((T26-S26)/7)/4.3</f>
        <v>13.687707641196013</v>
      </c>
      <c r="W26" s="322"/>
      <c r="X26" s="321"/>
      <c r="Y26" s="322" t="s">
        <v>370</v>
      </c>
      <c r="Z26" s="323">
        <v>14188397.560000001</v>
      </c>
      <c r="AA26" s="211">
        <v>13413397.559999997</v>
      </c>
      <c r="AB26" s="211">
        <v>812671.7</v>
      </c>
      <c r="AC26" s="211">
        <v>0</v>
      </c>
      <c r="AD26" s="211">
        <v>81884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3"/>
      <c r="AO26" s="47"/>
      <c r="AP26" s="53">
        <f t="shared" ref="AP26:AP28" si="9">SUM(AA26:AO26)</f>
        <v>14307953.259999996</v>
      </c>
      <c r="AQ26" s="51"/>
      <c r="AR26" s="359">
        <f t="shared" ref="AR26:AR89" si="10">AP26-Z26</f>
        <v>119555.69999999553</v>
      </c>
    </row>
    <row r="27" spans="1:46" s="36" customFormat="1" ht="15.75" x14ac:dyDescent="0.25">
      <c r="A27" s="113" t="s">
        <v>102</v>
      </c>
      <c r="B27" s="114" t="s">
        <v>385</v>
      </c>
      <c r="C27" s="422" t="s">
        <v>813</v>
      </c>
      <c r="D27" s="52" t="s">
        <v>873</v>
      </c>
      <c r="E27" s="423" t="s">
        <v>890</v>
      </c>
      <c r="F27" s="114" t="s">
        <v>626</v>
      </c>
      <c r="G27" s="52" t="s">
        <v>46</v>
      </c>
      <c r="H27" s="329" t="s">
        <v>24</v>
      </c>
      <c r="I27" s="422"/>
      <c r="J27" s="330" t="s">
        <v>370</v>
      </c>
      <c r="K27" s="330" t="s">
        <v>24</v>
      </c>
      <c r="L27" s="330" t="s">
        <v>24</v>
      </c>
      <c r="M27" s="330" t="s">
        <v>24</v>
      </c>
      <c r="N27" s="330" t="s">
        <v>24</v>
      </c>
      <c r="O27" s="333" t="s">
        <v>24</v>
      </c>
      <c r="P27" s="333" t="s">
        <v>24</v>
      </c>
      <c r="Q27" s="333" t="s">
        <v>24</v>
      </c>
      <c r="R27" s="333" t="s">
        <v>320</v>
      </c>
      <c r="S27" s="333" t="s">
        <v>24</v>
      </c>
      <c r="T27" s="333" t="s">
        <v>24</v>
      </c>
      <c r="U27" s="333" t="s">
        <v>24</v>
      </c>
      <c r="V27" s="333" t="s">
        <v>24</v>
      </c>
      <c r="W27" s="333" t="s">
        <v>24</v>
      </c>
      <c r="X27" s="330" t="s">
        <v>24</v>
      </c>
      <c r="Y27" s="333" t="s">
        <v>24</v>
      </c>
      <c r="Z27" s="182">
        <v>0</v>
      </c>
      <c r="AA27" s="211">
        <v>0</v>
      </c>
      <c r="AB27" s="211">
        <v>0</v>
      </c>
      <c r="AC27" s="211">
        <v>0</v>
      </c>
      <c r="AD27" s="211">
        <v>0</v>
      </c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47"/>
      <c r="AP27" s="53">
        <f t="shared" si="9"/>
        <v>0</v>
      </c>
      <c r="AQ27" s="51"/>
      <c r="AR27" s="359">
        <f t="shared" si="10"/>
        <v>0</v>
      </c>
      <c r="AT27" s="55"/>
    </row>
    <row r="28" spans="1:46" s="36" customFormat="1" ht="15.75" x14ac:dyDescent="0.25">
      <c r="A28" s="113" t="s">
        <v>107</v>
      </c>
      <c r="B28" s="114" t="s">
        <v>108</v>
      </c>
      <c r="C28" s="422" t="s">
        <v>813</v>
      </c>
      <c r="D28" s="52" t="s">
        <v>873</v>
      </c>
      <c r="E28" s="423" t="s">
        <v>890</v>
      </c>
      <c r="F28" s="113" t="s">
        <v>109</v>
      </c>
      <c r="G28" s="52" t="s">
        <v>46</v>
      </c>
      <c r="H28" s="329">
        <v>44454</v>
      </c>
      <c r="I28" s="422"/>
      <c r="J28" s="330" t="s">
        <v>370</v>
      </c>
      <c r="K28" s="52">
        <v>44417</v>
      </c>
      <c r="L28" s="330">
        <v>44417</v>
      </c>
      <c r="M28" s="299">
        <v>44418</v>
      </c>
      <c r="N28" s="330">
        <v>44418</v>
      </c>
      <c r="O28" s="333" t="e">
        <f t="shared" si="6"/>
        <v>#VALUE!</v>
      </c>
      <c r="P28" s="344">
        <f t="shared" ref="P28:Q35" si="11">M28-K28</f>
        <v>1</v>
      </c>
      <c r="Q28" s="333">
        <f t="shared" si="11"/>
        <v>1</v>
      </c>
      <c r="R28" s="52" t="s">
        <v>370</v>
      </c>
      <c r="S28" s="329">
        <v>44470</v>
      </c>
      <c r="T28" s="87">
        <v>44628</v>
      </c>
      <c r="U28" s="50">
        <v>4</v>
      </c>
      <c r="V28" s="50">
        <f>((T28-S28)/7)/4.3</f>
        <v>5.249169435215947</v>
      </c>
      <c r="W28" s="50"/>
      <c r="X28" s="52"/>
      <c r="Y28" s="50" t="s">
        <v>370</v>
      </c>
      <c r="Z28" s="182">
        <v>295011.28999999998</v>
      </c>
      <c r="AA28" s="211">
        <v>264663.84999999998</v>
      </c>
      <c r="AB28" s="211">
        <v>0</v>
      </c>
      <c r="AC28" s="211">
        <v>0</v>
      </c>
      <c r="AD28" s="211">
        <v>36793.4</v>
      </c>
      <c r="AE28" s="58"/>
      <c r="AF28" s="58"/>
      <c r="AG28" s="58"/>
      <c r="AH28" s="58"/>
      <c r="AI28" s="58"/>
      <c r="AJ28" s="58"/>
      <c r="AK28" s="58"/>
      <c r="AL28" s="58"/>
      <c r="AM28" s="58"/>
      <c r="AN28" s="53"/>
      <c r="AO28" s="47"/>
      <c r="AP28" s="53">
        <f t="shared" si="9"/>
        <v>301457.25</v>
      </c>
      <c r="AQ28" s="51"/>
      <c r="AR28" s="359">
        <f t="shared" si="10"/>
        <v>6445.960000000021</v>
      </c>
      <c r="AT28" s="55"/>
    </row>
    <row r="29" spans="1:46" s="36" customFormat="1" ht="15.75" x14ac:dyDescent="0.25">
      <c r="A29" s="386" t="s">
        <v>719</v>
      </c>
      <c r="B29" s="393" t="s">
        <v>661</v>
      </c>
      <c r="C29" s="423" t="s">
        <v>826</v>
      </c>
      <c r="D29" s="52" t="s">
        <v>402</v>
      </c>
      <c r="E29" s="423" t="s">
        <v>893</v>
      </c>
      <c r="F29" s="61"/>
      <c r="G29" s="52" t="s">
        <v>46</v>
      </c>
      <c r="H29" s="330">
        <v>44644</v>
      </c>
      <c r="I29" s="423"/>
      <c r="J29" s="329">
        <v>44544</v>
      </c>
      <c r="K29" s="87">
        <v>44589</v>
      </c>
      <c r="L29" s="329">
        <v>44532</v>
      </c>
      <c r="M29" s="52">
        <v>44619</v>
      </c>
      <c r="N29" s="329">
        <v>44651</v>
      </c>
      <c r="O29" s="88">
        <f t="shared" si="6"/>
        <v>107</v>
      </c>
      <c r="P29" s="50">
        <f t="shared" si="11"/>
        <v>30</v>
      </c>
      <c r="Q29" s="346">
        <f t="shared" si="11"/>
        <v>119</v>
      </c>
      <c r="R29" s="52" t="s">
        <v>370</v>
      </c>
      <c r="S29" s="377">
        <f>N29</f>
        <v>44651</v>
      </c>
      <c r="T29" s="347">
        <v>44804</v>
      </c>
      <c r="U29" s="50">
        <v>6.3455149501661126</v>
      </c>
      <c r="V29" s="50">
        <f>((T29-S29)/7)/4.3</f>
        <v>5.0830564784053163</v>
      </c>
      <c r="W29" s="50"/>
      <c r="X29" s="52"/>
      <c r="Y29" s="50" t="s">
        <v>370</v>
      </c>
      <c r="Z29" s="182">
        <v>2860072</v>
      </c>
      <c r="AA29" s="211">
        <v>0</v>
      </c>
      <c r="AB29" s="211">
        <v>0</v>
      </c>
      <c r="AC29" s="211">
        <v>125981</v>
      </c>
      <c r="AD29" s="211">
        <v>53207.75</v>
      </c>
      <c r="AE29" s="275">
        <v>250000</v>
      </c>
      <c r="AF29" s="275">
        <v>250000</v>
      </c>
      <c r="AG29" s="275">
        <v>300000</v>
      </c>
      <c r="AH29" s="275">
        <v>300000</v>
      </c>
      <c r="AI29" s="275">
        <v>300000</v>
      </c>
      <c r="AJ29" s="275">
        <v>300000</v>
      </c>
      <c r="AK29" s="275">
        <v>300000</v>
      </c>
      <c r="AL29" s="275">
        <v>300000</v>
      </c>
      <c r="AM29" s="275">
        <v>184091</v>
      </c>
      <c r="AN29" s="58"/>
      <c r="AO29" s="47"/>
      <c r="AP29" s="53">
        <f>SUM(AA29:AO29)</f>
        <v>2663279.75</v>
      </c>
      <c r="AQ29" s="51"/>
      <c r="AR29" s="359">
        <f t="shared" si="10"/>
        <v>-196792.25</v>
      </c>
    </row>
    <row r="30" spans="1:46" s="36" customFormat="1" ht="15.75" x14ac:dyDescent="0.25">
      <c r="A30" s="374" t="s">
        <v>845</v>
      </c>
      <c r="B30" s="375" t="s">
        <v>776</v>
      </c>
      <c r="C30" s="87" t="s">
        <v>832</v>
      </c>
      <c r="D30" s="52" t="s">
        <v>873</v>
      </c>
      <c r="E30" s="52" t="s">
        <v>890</v>
      </c>
      <c r="F30" s="56" t="s">
        <v>862</v>
      </c>
      <c r="G30" s="52" t="s">
        <v>623</v>
      </c>
      <c r="H30" s="299">
        <v>44666</v>
      </c>
      <c r="I30" s="87"/>
      <c r="J30" s="87">
        <v>44659</v>
      </c>
      <c r="K30" s="87">
        <v>44591</v>
      </c>
      <c r="L30" s="329">
        <v>44576</v>
      </c>
      <c r="M30" s="87">
        <v>44621</v>
      </c>
      <c r="N30" s="87">
        <v>44666</v>
      </c>
      <c r="O30" s="88">
        <f t="shared" si="6"/>
        <v>7</v>
      </c>
      <c r="P30" s="50">
        <f t="shared" si="11"/>
        <v>30</v>
      </c>
      <c r="Q30" s="50">
        <f t="shared" si="11"/>
        <v>90</v>
      </c>
      <c r="R30" s="52" t="s">
        <v>320</v>
      </c>
      <c r="S30" s="376">
        <v>44681</v>
      </c>
      <c r="T30" s="52">
        <f>S30+(9*4.3*7)</f>
        <v>44951.9</v>
      </c>
      <c r="U30" s="50">
        <v>9.0000000000000497</v>
      </c>
      <c r="V30" s="50">
        <f>((T30-S30)/7)/4.3</f>
        <v>9.0000000000000497</v>
      </c>
      <c r="W30" s="50"/>
      <c r="X30" s="52"/>
      <c r="Y30" s="50"/>
      <c r="Z30" s="53">
        <v>2000000</v>
      </c>
      <c r="AA30" s="211">
        <v>0</v>
      </c>
      <c r="AB30" s="211">
        <v>0</v>
      </c>
      <c r="AC30" s="211">
        <v>0</v>
      </c>
      <c r="AD30" s="211">
        <v>0</v>
      </c>
      <c r="AE30" s="275">
        <v>100000</v>
      </c>
      <c r="AF30" s="275">
        <v>150000</v>
      </c>
      <c r="AG30" s="275">
        <v>200000</v>
      </c>
      <c r="AH30" s="275">
        <v>200000</v>
      </c>
      <c r="AI30" s="275">
        <v>200000</v>
      </c>
      <c r="AJ30" s="275">
        <v>250000</v>
      </c>
      <c r="AK30" s="275">
        <v>250000</v>
      </c>
      <c r="AL30" s="275">
        <v>250000</v>
      </c>
      <c r="AM30" s="275">
        <v>200000</v>
      </c>
      <c r="AN30" s="275">
        <v>200000</v>
      </c>
      <c r="AO30" s="47"/>
      <c r="AP30" s="53">
        <f>SUM(AA30:AO30)</f>
        <v>2000000</v>
      </c>
      <c r="AQ30" s="51"/>
      <c r="AR30" s="359">
        <f t="shared" si="10"/>
        <v>0</v>
      </c>
    </row>
    <row r="31" spans="1:46" s="36" customFormat="1" ht="15.75" x14ac:dyDescent="0.25">
      <c r="A31" s="461" t="s">
        <v>851</v>
      </c>
      <c r="B31" s="410" t="s">
        <v>920</v>
      </c>
      <c r="C31" s="87" t="s">
        <v>832</v>
      </c>
      <c r="D31" s="52" t="s">
        <v>873</v>
      </c>
      <c r="E31" s="52" t="s">
        <v>890</v>
      </c>
      <c r="F31" s="56" t="s">
        <v>862</v>
      </c>
      <c r="G31" s="52" t="s">
        <v>623</v>
      </c>
      <c r="H31" s="52" t="s">
        <v>320</v>
      </c>
      <c r="I31" s="87"/>
      <c r="J31" s="52">
        <v>44726</v>
      </c>
      <c r="K31" s="52">
        <v>44726</v>
      </c>
      <c r="L31" s="52">
        <v>44726</v>
      </c>
      <c r="M31" s="87">
        <f>K31+45</f>
        <v>44771</v>
      </c>
      <c r="N31" s="87">
        <f>L31+45</f>
        <v>44771</v>
      </c>
      <c r="O31" s="88">
        <f t="shared" si="6"/>
        <v>45</v>
      </c>
      <c r="P31" s="50">
        <f t="shared" si="11"/>
        <v>45</v>
      </c>
      <c r="Q31" s="50">
        <f t="shared" si="11"/>
        <v>45</v>
      </c>
      <c r="R31" s="52" t="s">
        <v>320</v>
      </c>
      <c r="S31" s="376">
        <f t="shared" ref="S31:S35" si="12">N31+20</f>
        <v>44791</v>
      </c>
      <c r="T31" s="52">
        <f>S31+(4*4.3*7)</f>
        <v>44911.4</v>
      </c>
      <c r="U31" s="50">
        <v>4</v>
      </c>
      <c r="V31" s="50">
        <f t="shared" ref="V31:V35" si="13">((T31-S31)/7)/4.3</f>
        <v>4.0000000000000488</v>
      </c>
      <c r="W31" s="50"/>
      <c r="X31" s="52"/>
      <c r="Y31" s="50"/>
      <c r="Z31" s="53"/>
      <c r="AA31" s="211">
        <v>0</v>
      </c>
      <c r="AB31" s="211">
        <v>0</v>
      </c>
      <c r="AC31" s="211">
        <v>0</v>
      </c>
      <c r="AD31" s="211">
        <v>0</v>
      </c>
      <c r="AE31" s="58"/>
      <c r="AF31" s="58"/>
      <c r="AG31" s="58"/>
      <c r="AH31" s="58"/>
      <c r="AI31" s="58"/>
      <c r="AJ31" s="58"/>
      <c r="AK31" s="58"/>
      <c r="AL31" s="58"/>
      <c r="AM31" s="58"/>
      <c r="AN31" s="53"/>
      <c r="AO31" s="47"/>
      <c r="AP31" s="53">
        <f>SUM(AA31:AO31)</f>
        <v>0</v>
      </c>
      <c r="AQ31" s="51"/>
      <c r="AR31" s="359">
        <f t="shared" si="10"/>
        <v>0</v>
      </c>
    </row>
    <row r="32" spans="1:46" s="36" customFormat="1" ht="15.75" x14ac:dyDescent="0.25">
      <c r="A32" s="374" t="s">
        <v>852</v>
      </c>
      <c r="B32" s="410" t="s">
        <v>921</v>
      </c>
      <c r="C32" s="87" t="s">
        <v>832</v>
      </c>
      <c r="D32" s="52" t="s">
        <v>873</v>
      </c>
      <c r="E32" s="52" t="s">
        <v>890</v>
      </c>
      <c r="F32" s="56" t="s">
        <v>862</v>
      </c>
      <c r="G32" s="52" t="s">
        <v>623</v>
      </c>
      <c r="H32" s="52" t="s">
        <v>320</v>
      </c>
      <c r="I32" s="87"/>
      <c r="J32" s="52">
        <v>44726</v>
      </c>
      <c r="K32" s="52">
        <v>44726</v>
      </c>
      <c r="L32" s="52">
        <v>44726</v>
      </c>
      <c r="M32" s="87">
        <f t="shared" ref="M32:M35" si="14">K32+45</f>
        <v>44771</v>
      </c>
      <c r="N32" s="87">
        <f>L32+45</f>
        <v>44771</v>
      </c>
      <c r="O32" s="88">
        <f t="shared" si="6"/>
        <v>45</v>
      </c>
      <c r="P32" s="50">
        <f t="shared" si="11"/>
        <v>45</v>
      </c>
      <c r="Q32" s="50">
        <f t="shared" si="11"/>
        <v>45</v>
      </c>
      <c r="R32" s="52" t="s">
        <v>320</v>
      </c>
      <c r="S32" s="376">
        <f t="shared" si="12"/>
        <v>44791</v>
      </c>
      <c r="T32" s="52">
        <f>S32+(4*4.3*7)</f>
        <v>44911.4</v>
      </c>
      <c r="U32" s="50">
        <v>4</v>
      </c>
      <c r="V32" s="50">
        <f t="shared" si="13"/>
        <v>4.0000000000000488</v>
      </c>
      <c r="W32" s="50"/>
      <c r="X32" s="52"/>
      <c r="Y32" s="50"/>
      <c r="Z32" s="53"/>
      <c r="AA32" s="211">
        <v>0</v>
      </c>
      <c r="AB32" s="211">
        <v>0</v>
      </c>
      <c r="AC32" s="211">
        <v>0</v>
      </c>
      <c r="AD32" s="211">
        <v>0</v>
      </c>
      <c r="AE32" s="58"/>
      <c r="AF32" s="58"/>
      <c r="AG32" s="58"/>
      <c r="AH32" s="58"/>
      <c r="AI32" s="58"/>
      <c r="AJ32" s="58"/>
      <c r="AK32" s="58"/>
      <c r="AL32" s="58"/>
      <c r="AM32" s="58"/>
      <c r="AN32" s="53"/>
      <c r="AO32" s="47"/>
      <c r="AP32" s="53">
        <f>SUM(AA32:AO32)</f>
        <v>0</v>
      </c>
      <c r="AQ32" s="51"/>
      <c r="AR32" s="359">
        <f t="shared" si="10"/>
        <v>0</v>
      </c>
    </row>
    <row r="33" spans="1:46" s="36" customFormat="1" ht="15.75" x14ac:dyDescent="0.25">
      <c r="A33" s="461" t="s">
        <v>853</v>
      </c>
      <c r="B33" s="410" t="s">
        <v>922</v>
      </c>
      <c r="C33" s="435" t="s">
        <v>832</v>
      </c>
      <c r="D33" s="52" t="s">
        <v>873</v>
      </c>
      <c r="E33" s="52" t="s">
        <v>890</v>
      </c>
      <c r="F33" s="389" t="s">
        <v>862</v>
      </c>
      <c r="G33" s="52" t="s">
        <v>623</v>
      </c>
      <c r="H33" s="52" t="s">
        <v>320</v>
      </c>
      <c r="I33" s="435"/>
      <c r="J33" s="52">
        <v>44726</v>
      </c>
      <c r="K33" s="52">
        <v>44726</v>
      </c>
      <c r="L33" s="52">
        <v>44726</v>
      </c>
      <c r="M33" s="87">
        <f t="shared" si="14"/>
        <v>44771</v>
      </c>
      <c r="N33" s="87">
        <f>L33+45</f>
        <v>44771</v>
      </c>
      <c r="O33" s="88">
        <f t="shared" si="6"/>
        <v>45</v>
      </c>
      <c r="P33" s="50">
        <f t="shared" si="11"/>
        <v>45</v>
      </c>
      <c r="Q33" s="50">
        <f t="shared" si="11"/>
        <v>45</v>
      </c>
      <c r="R33" s="52" t="s">
        <v>320</v>
      </c>
      <c r="S33" s="376">
        <f t="shared" si="12"/>
        <v>44791</v>
      </c>
      <c r="T33" s="52">
        <f>S33+(4*4.3*7)</f>
        <v>44911.4</v>
      </c>
      <c r="U33" s="50">
        <v>4</v>
      </c>
      <c r="V33" s="50">
        <f t="shared" si="13"/>
        <v>4.0000000000000488</v>
      </c>
      <c r="W33" s="50"/>
      <c r="X33" s="52"/>
      <c r="Y33" s="50"/>
      <c r="Z33" s="53"/>
      <c r="AA33" s="211">
        <v>0</v>
      </c>
      <c r="AB33" s="211">
        <v>0</v>
      </c>
      <c r="AC33" s="211">
        <v>0</v>
      </c>
      <c r="AD33" s="211">
        <v>0</v>
      </c>
      <c r="AE33" s="58"/>
      <c r="AF33" s="58"/>
      <c r="AG33" s="58"/>
      <c r="AH33" s="58"/>
      <c r="AI33" s="58"/>
      <c r="AJ33" s="58"/>
      <c r="AK33" s="58"/>
      <c r="AL33" s="58"/>
      <c r="AM33" s="58"/>
      <c r="AN33" s="53"/>
      <c r="AO33" s="47"/>
      <c r="AP33" s="53">
        <f t="shared" ref="AP33:AP35" si="15">SUM(AA33:AO33)</f>
        <v>0</v>
      </c>
      <c r="AQ33" s="51"/>
      <c r="AR33" s="359">
        <f t="shared" si="10"/>
        <v>0</v>
      </c>
    </row>
    <row r="34" spans="1:46" s="36" customFormat="1" ht="15.75" x14ac:dyDescent="0.25">
      <c r="A34" s="374" t="s">
        <v>854</v>
      </c>
      <c r="B34" s="410" t="s">
        <v>923</v>
      </c>
      <c r="C34" s="432" t="s">
        <v>832</v>
      </c>
      <c r="D34" s="52" t="s">
        <v>873</v>
      </c>
      <c r="E34" s="52" t="s">
        <v>890</v>
      </c>
      <c r="F34" s="57" t="s">
        <v>862</v>
      </c>
      <c r="G34" s="52" t="s">
        <v>623</v>
      </c>
      <c r="H34" s="52" t="s">
        <v>320</v>
      </c>
      <c r="I34" s="432"/>
      <c r="J34" s="52">
        <v>44726</v>
      </c>
      <c r="K34" s="52">
        <v>44726</v>
      </c>
      <c r="L34" s="52">
        <v>44726</v>
      </c>
      <c r="M34" s="87">
        <f t="shared" si="14"/>
        <v>44771</v>
      </c>
      <c r="N34" s="87">
        <f>L34+45</f>
        <v>44771</v>
      </c>
      <c r="O34" s="88">
        <f t="shared" si="6"/>
        <v>45</v>
      </c>
      <c r="P34" s="50">
        <f t="shared" si="11"/>
        <v>45</v>
      </c>
      <c r="Q34" s="50">
        <f t="shared" si="11"/>
        <v>45</v>
      </c>
      <c r="R34" s="52" t="s">
        <v>320</v>
      </c>
      <c r="S34" s="376">
        <f t="shared" si="12"/>
        <v>44791</v>
      </c>
      <c r="T34" s="52">
        <f>S34+(4*4.3*7)</f>
        <v>44911.4</v>
      </c>
      <c r="U34" s="50">
        <v>4</v>
      </c>
      <c r="V34" s="50">
        <f t="shared" si="13"/>
        <v>4.0000000000000488</v>
      </c>
      <c r="W34" s="50"/>
      <c r="X34" s="52"/>
      <c r="Y34" s="50"/>
      <c r="Z34" s="53"/>
      <c r="AA34" s="211">
        <v>0</v>
      </c>
      <c r="AB34" s="211">
        <v>0</v>
      </c>
      <c r="AC34" s="211">
        <v>0</v>
      </c>
      <c r="AD34" s="211">
        <v>0</v>
      </c>
      <c r="AE34" s="58"/>
      <c r="AF34" s="58"/>
      <c r="AG34" s="58"/>
      <c r="AH34" s="58"/>
      <c r="AI34" s="58"/>
      <c r="AJ34" s="58"/>
      <c r="AK34" s="58"/>
      <c r="AL34" s="58"/>
      <c r="AM34" s="58"/>
      <c r="AN34" s="53"/>
      <c r="AO34" s="47"/>
      <c r="AP34" s="53">
        <f t="shared" si="15"/>
        <v>0</v>
      </c>
      <c r="AQ34" s="51"/>
      <c r="AR34" s="359">
        <f t="shared" si="10"/>
        <v>0</v>
      </c>
    </row>
    <row r="35" spans="1:46" s="36" customFormat="1" ht="15.75" x14ac:dyDescent="0.25">
      <c r="A35" s="374" t="s">
        <v>855</v>
      </c>
      <c r="B35" s="410" t="s">
        <v>924</v>
      </c>
      <c r="C35" s="432" t="s">
        <v>832</v>
      </c>
      <c r="D35" s="52" t="s">
        <v>873</v>
      </c>
      <c r="E35" s="52" t="s">
        <v>890</v>
      </c>
      <c r="F35" s="57" t="s">
        <v>862</v>
      </c>
      <c r="G35" s="52" t="s">
        <v>623</v>
      </c>
      <c r="H35" s="52" t="s">
        <v>320</v>
      </c>
      <c r="I35" s="432"/>
      <c r="J35" s="52">
        <v>44726</v>
      </c>
      <c r="K35" s="52">
        <v>44726</v>
      </c>
      <c r="L35" s="52">
        <v>44726</v>
      </c>
      <c r="M35" s="87">
        <f t="shared" si="14"/>
        <v>44771</v>
      </c>
      <c r="N35" s="87">
        <f>L35+45</f>
        <v>44771</v>
      </c>
      <c r="O35" s="88">
        <f t="shared" si="6"/>
        <v>45</v>
      </c>
      <c r="P35" s="50">
        <f t="shared" si="11"/>
        <v>45</v>
      </c>
      <c r="Q35" s="50">
        <f t="shared" si="11"/>
        <v>45</v>
      </c>
      <c r="R35" s="52" t="s">
        <v>320</v>
      </c>
      <c r="S35" s="376">
        <f t="shared" si="12"/>
        <v>44791</v>
      </c>
      <c r="T35" s="52">
        <f>S35+(4*4.3*7)</f>
        <v>44911.4</v>
      </c>
      <c r="U35" s="50">
        <v>4</v>
      </c>
      <c r="V35" s="50">
        <f t="shared" si="13"/>
        <v>4.0000000000000488</v>
      </c>
      <c r="W35" s="50"/>
      <c r="X35" s="52"/>
      <c r="Y35" s="50"/>
      <c r="Z35" s="53"/>
      <c r="AA35" s="211">
        <v>0</v>
      </c>
      <c r="AB35" s="211">
        <v>0</v>
      </c>
      <c r="AC35" s="211">
        <v>0</v>
      </c>
      <c r="AD35" s="211">
        <v>0</v>
      </c>
      <c r="AE35" s="58"/>
      <c r="AF35" s="58"/>
      <c r="AG35" s="58"/>
      <c r="AH35" s="58"/>
      <c r="AI35" s="58"/>
      <c r="AJ35" s="58"/>
      <c r="AK35" s="58"/>
      <c r="AL35" s="58"/>
      <c r="AM35" s="58"/>
      <c r="AN35" s="53"/>
      <c r="AO35" s="47"/>
      <c r="AP35" s="53">
        <f t="shared" si="15"/>
        <v>0</v>
      </c>
      <c r="AQ35" s="51"/>
      <c r="AR35" s="359">
        <f t="shared" si="10"/>
        <v>0</v>
      </c>
    </row>
    <row r="36" spans="1:46" s="36" customFormat="1" ht="15.75" x14ac:dyDescent="0.25">
      <c r="A36" s="99"/>
      <c r="B36" s="100"/>
      <c r="C36" s="429"/>
      <c r="D36" s="445"/>
      <c r="E36" s="446"/>
      <c r="F36" s="100"/>
      <c r="G36" s="91"/>
      <c r="H36" s="91"/>
      <c r="I36" s="429"/>
      <c r="J36" s="91"/>
      <c r="K36" s="91"/>
      <c r="L36" s="91"/>
      <c r="M36" s="91"/>
      <c r="N36" s="91"/>
      <c r="O36" s="92"/>
      <c r="P36" s="91"/>
      <c r="Q36" s="92"/>
      <c r="R36" s="91"/>
      <c r="S36" s="91"/>
      <c r="T36" s="91"/>
      <c r="U36" s="92"/>
      <c r="V36" s="92"/>
      <c r="W36" s="92"/>
      <c r="X36" s="91"/>
      <c r="Y36" s="92"/>
      <c r="Z36" s="59">
        <f>SUBTOTAL(9,Z24:Z35)</f>
        <v>20157605.850000001</v>
      </c>
      <c r="AA36" s="243">
        <f>SUBTOTAL(9,AA24:AA35)</f>
        <v>13736161.409999996</v>
      </c>
      <c r="AB36" s="243">
        <f t="shared" ref="AB36:AN36" si="16">SUBTOTAL(9,AB24:AB35)</f>
        <v>812671.7</v>
      </c>
      <c r="AC36" s="243">
        <f t="shared" si="16"/>
        <v>125981</v>
      </c>
      <c r="AD36" s="59">
        <f t="shared" si="16"/>
        <v>252272.3</v>
      </c>
      <c r="AE36" s="59">
        <f t="shared" si="16"/>
        <v>350000</v>
      </c>
      <c r="AF36" s="59">
        <f t="shared" si="16"/>
        <v>400000</v>
      </c>
      <c r="AG36" s="59">
        <f t="shared" si="16"/>
        <v>500000</v>
      </c>
      <c r="AH36" s="59">
        <f t="shared" si="16"/>
        <v>500000</v>
      </c>
      <c r="AI36" s="59">
        <f t="shared" si="16"/>
        <v>500000</v>
      </c>
      <c r="AJ36" s="59">
        <f t="shared" si="16"/>
        <v>550000</v>
      </c>
      <c r="AK36" s="59">
        <f t="shared" si="16"/>
        <v>550000</v>
      </c>
      <c r="AL36" s="59">
        <f t="shared" si="16"/>
        <v>550000</v>
      </c>
      <c r="AM36" s="59">
        <f t="shared" si="16"/>
        <v>1109091</v>
      </c>
      <c r="AN36" s="59">
        <f t="shared" si="16"/>
        <v>200000</v>
      </c>
      <c r="AO36" s="47"/>
      <c r="AP36" s="59">
        <f>SUBTOTAL(9,AP24:AP35)</f>
        <v>20136177.409999996</v>
      </c>
      <c r="AQ36" s="51"/>
      <c r="AR36" s="359">
        <f t="shared" si="10"/>
        <v>-21428.440000005066</v>
      </c>
      <c r="AT36" s="55"/>
    </row>
    <row r="37" spans="1:46" s="36" customFormat="1" ht="15.75" x14ac:dyDescent="0.25">
      <c r="A37" s="382" t="s">
        <v>569</v>
      </c>
      <c r="B37" s="387"/>
      <c r="C37" s="102"/>
      <c r="D37" s="102"/>
      <c r="E37" s="102"/>
      <c r="F37" s="381"/>
      <c r="G37" s="102"/>
      <c r="H37" s="102"/>
      <c r="I37" s="102"/>
      <c r="J37" s="102"/>
      <c r="K37" s="102"/>
      <c r="L37" s="276"/>
      <c r="M37" s="276"/>
      <c r="N37" s="276"/>
      <c r="O37" s="84"/>
      <c r="P37" s="276"/>
      <c r="Q37" s="84"/>
      <c r="R37" s="102"/>
      <c r="S37" s="102"/>
      <c r="T37" s="102"/>
      <c r="U37" s="84"/>
      <c r="V37" s="102"/>
      <c r="W37" s="102"/>
      <c r="X37" s="276"/>
      <c r="Y37" s="102"/>
      <c r="Z37" s="102"/>
      <c r="AA37" s="495"/>
      <c r="AB37" s="495"/>
      <c r="AC37" s="495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47"/>
      <c r="AP37" s="103"/>
      <c r="AQ37" s="51"/>
      <c r="AR37" s="359">
        <f t="shared" si="10"/>
        <v>0</v>
      </c>
    </row>
    <row r="38" spans="1:46" s="36" customFormat="1" ht="15.75" x14ac:dyDescent="0.25">
      <c r="A38" s="366" t="s">
        <v>134</v>
      </c>
      <c r="B38" s="367" t="s">
        <v>135</v>
      </c>
      <c r="C38" s="321" t="s">
        <v>809</v>
      </c>
      <c r="D38" s="321" t="s">
        <v>566</v>
      </c>
      <c r="E38" s="321" t="s">
        <v>24</v>
      </c>
      <c r="F38" s="366" t="s">
        <v>136</v>
      </c>
      <c r="G38" s="321" t="s">
        <v>46</v>
      </c>
      <c r="H38" s="332">
        <v>44000</v>
      </c>
      <c r="I38" s="321"/>
      <c r="J38" s="332" t="s">
        <v>24</v>
      </c>
      <c r="K38" s="321">
        <v>44174</v>
      </c>
      <c r="L38" s="332">
        <v>44174</v>
      </c>
      <c r="M38" s="339">
        <v>44223</v>
      </c>
      <c r="N38" s="332">
        <v>44223</v>
      </c>
      <c r="O38" s="332" t="s">
        <v>24</v>
      </c>
      <c r="P38" s="371">
        <f>M38-K38</f>
        <v>49</v>
      </c>
      <c r="Q38" s="343">
        <f>N38-L38</f>
        <v>49</v>
      </c>
      <c r="R38" s="321" t="s">
        <v>370</v>
      </c>
      <c r="S38" s="332">
        <v>44382</v>
      </c>
      <c r="T38" s="321">
        <v>44540</v>
      </c>
      <c r="U38" s="322">
        <v>5</v>
      </c>
      <c r="V38" s="322">
        <f>((T38-S38)/7)/4.3</f>
        <v>5.249169435215947</v>
      </c>
      <c r="W38" s="322"/>
      <c r="X38" s="321"/>
      <c r="Y38" s="322" t="s">
        <v>370</v>
      </c>
      <c r="Z38" s="323">
        <v>1006578.9</v>
      </c>
      <c r="AA38" s="211">
        <v>1006578.9</v>
      </c>
      <c r="AB38" s="211">
        <v>0</v>
      </c>
      <c r="AC38" s="211">
        <v>413409.04</v>
      </c>
      <c r="AD38" s="211">
        <v>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7"/>
      <c r="AP38" s="53">
        <f>SUM(AA38:AO38)</f>
        <v>1419987.94</v>
      </c>
      <c r="AQ38" s="51"/>
      <c r="AR38" s="359">
        <f t="shared" si="10"/>
        <v>413409.03999999992</v>
      </c>
    </row>
    <row r="39" spans="1:46" s="36" customFormat="1" ht="15.75" x14ac:dyDescent="0.25">
      <c r="A39" s="319" t="s">
        <v>226</v>
      </c>
      <c r="B39" s="319" t="s">
        <v>442</v>
      </c>
      <c r="C39" s="428" t="s">
        <v>809</v>
      </c>
      <c r="D39" s="402" t="s">
        <v>565</v>
      </c>
      <c r="E39" s="472" t="s">
        <v>24</v>
      </c>
      <c r="F39" s="320" t="s">
        <v>656</v>
      </c>
      <c r="G39" s="321" t="s">
        <v>46</v>
      </c>
      <c r="H39" s="332">
        <v>44336</v>
      </c>
      <c r="I39" s="428"/>
      <c r="J39" s="332" t="s">
        <v>24</v>
      </c>
      <c r="K39" s="321">
        <v>44295</v>
      </c>
      <c r="L39" s="332">
        <v>44295</v>
      </c>
      <c r="M39" s="339">
        <v>44357</v>
      </c>
      <c r="N39" s="332">
        <v>44357</v>
      </c>
      <c r="O39" s="332" t="s">
        <v>24</v>
      </c>
      <c r="P39" s="371">
        <f>M39-K39</f>
        <v>62</v>
      </c>
      <c r="Q39" s="343">
        <f>N39-L39</f>
        <v>62</v>
      </c>
      <c r="R39" s="321" t="s">
        <v>370</v>
      </c>
      <c r="S39" s="332">
        <v>44387</v>
      </c>
      <c r="T39" s="321">
        <v>44540</v>
      </c>
      <c r="U39" s="322">
        <v>5</v>
      </c>
      <c r="V39" s="322">
        <f>((T39-S39)/7)/4.3</f>
        <v>5.0830564784053163</v>
      </c>
      <c r="W39" s="322"/>
      <c r="X39" s="321"/>
      <c r="Y39" s="322" t="s">
        <v>370</v>
      </c>
      <c r="Z39" s="323">
        <v>2315782.2000000002</v>
      </c>
      <c r="AA39" s="211">
        <v>2304152.1999999997</v>
      </c>
      <c r="AB39" s="211">
        <v>38625.5</v>
      </c>
      <c r="AC39" s="211">
        <v>0</v>
      </c>
      <c r="AD39" s="211">
        <v>0</v>
      </c>
      <c r="AE39" s="58"/>
      <c r="AF39" s="58"/>
      <c r="AG39" s="58"/>
      <c r="AH39" s="58"/>
      <c r="AI39" s="58"/>
      <c r="AJ39" s="58"/>
      <c r="AK39" s="58"/>
      <c r="AL39" s="58"/>
      <c r="AM39" s="58"/>
      <c r="AN39" s="53"/>
      <c r="AO39" s="47"/>
      <c r="AP39" s="53">
        <f>SUM(AA39:AO39)</f>
        <v>2342777.6999999997</v>
      </c>
      <c r="AQ39" s="51"/>
      <c r="AR39" s="359">
        <f t="shared" si="10"/>
        <v>26995.499999999534</v>
      </c>
    </row>
    <row r="40" spans="1:46" s="36" customFormat="1" ht="15.75" x14ac:dyDescent="0.25">
      <c r="A40" s="99"/>
      <c r="B40" s="99"/>
      <c r="C40" s="429"/>
      <c r="D40" s="91"/>
      <c r="E40" s="91"/>
      <c r="F40" s="99"/>
      <c r="G40" s="91"/>
      <c r="H40" s="91"/>
      <c r="I40" s="429"/>
      <c r="J40" s="91"/>
      <c r="K40" s="91"/>
      <c r="L40" s="91"/>
      <c r="M40" s="91"/>
      <c r="N40" s="91"/>
      <c r="O40" s="92"/>
      <c r="P40" s="91"/>
      <c r="Q40" s="92"/>
      <c r="R40" s="91"/>
      <c r="S40" s="91"/>
      <c r="T40" s="91"/>
      <c r="U40" s="92"/>
      <c r="V40" s="91"/>
      <c r="W40" s="92"/>
      <c r="X40" s="91"/>
      <c r="Y40" s="92"/>
      <c r="Z40" s="59">
        <f t="shared" ref="Z40:AN40" si="17">SUBTOTAL(9,Z38:Z39)</f>
        <v>3322361.1</v>
      </c>
      <c r="AA40" s="243">
        <f t="shared" si="17"/>
        <v>3310731.0999999996</v>
      </c>
      <c r="AB40" s="243">
        <f t="shared" si="17"/>
        <v>38625.5</v>
      </c>
      <c r="AC40" s="243">
        <f t="shared" si="17"/>
        <v>413409.04</v>
      </c>
      <c r="AD40" s="59">
        <f t="shared" si="17"/>
        <v>0</v>
      </c>
      <c r="AE40" s="59">
        <f t="shared" si="17"/>
        <v>0</v>
      </c>
      <c r="AF40" s="59">
        <f t="shared" si="17"/>
        <v>0</v>
      </c>
      <c r="AG40" s="59">
        <f t="shared" si="17"/>
        <v>0</v>
      </c>
      <c r="AH40" s="59">
        <f t="shared" si="17"/>
        <v>0</v>
      </c>
      <c r="AI40" s="59">
        <f t="shared" si="17"/>
        <v>0</v>
      </c>
      <c r="AJ40" s="59">
        <f t="shared" si="17"/>
        <v>0</v>
      </c>
      <c r="AK40" s="59">
        <f t="shared" si="17"/>
        <v>0</v>
      </c>
      <c r="AL40" s="59">
        <f t="shared" si="17"/>
        <v>0</v>
      </c>
      <c r="AM40" s="59">
        <f t="shared" si="17"/>
        <v>0</v>
      </c>
      <c r="AN40" s="59">
        <f t="shared" si="17"/>
        <v>0</v>
      </c>
      <c r="AO40" s="47"/>
      <c r="AP40" s="59">
        <f>SUBTOTAL(9,AP38:AP39)</f>
        <v>3762765.6399999997</v>
      </c>
      <c r="AQ40" s="51"/>
      <c r="AR40" s="359">
        <f t="shared" si="10"/>
        <v>440404.53999999957</v>
      </c>
    </row>
    <row r="41" spans="1:46" s="36" customFormat="1" ht="15.75" x14ac:dyDescent="0.25">
      <c r="A41" s="381" t="s">
        <v>761</v>
      </c>
      <c r="B41" s="381"/>
      <c r="C41" s="101"/>
      <c r="D41" s="101"/>
      <c r="E41" s="101"/>
      <c r="F41" s="107"/>
      <c r="G41" s="102"/>
      <c r="H41" s="102"/>
      <c r="I41" s="101"/>
      <c r="J41" s="102"/>
      <c r="K41" s="102"/>
      <c r="L41" s="276"/>
      <c r="M41" s="276"/>
      <c r="N41" s="276"/>
      <c r="O41" s="84"/>
      <c r="P41" s="276"/>
      <c r="Q41" s="84"/>
      <c r="R41" s="102"/>
      <c r="S41" s="102"/>
      <c r="T41" s="102"/>
      <c r="U41" s="84"/>
      <c r="V41" s="102"/>
      <c r="W41" s="102"/>
      <c r="X41" s="276"/>
      <c r="Y41" s="102"/>
      <c r="Z41" s="102"/>
      <c r="AA41" s="495"/>
      <c r="AB41" s="495"/>
      <c r="AC41" s="495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47"/>
      <c r="AP41" s="103"/>
      <c r="AQ41" s="51"/>
      <c r="AR41" s="359">
        <f t="shared" si="10"/>
        <v>0</v>
      </c>
      <c r="AT41" s="55"/>
    </row>
    <row r="42" spans="1:46" s="36" customFormat="1" ht="15.75" x14ac:dyDescent="0.25">
      <c r="A42" s="374" t="s">
        <v>203</v>
      </c>
      <c r="B42" s="374" t="s">
        <v>204</v>
      </c>
      <c r="C42" s="394" t="s">
        <v>815</v>
      </c>
      <c r="D42" s="87" t="s">
        <v>885</v>
      </c>
      <c r="E42" s="434" t="s">
        <v>893</v>
      </c>
      <c r="F42" s="112" t="s">
        <v>684</v>
      </c>
      <c r="G42" s="87" t="s">
        <v>46</v>
      </c>
      <c r="H42" s="329">
        <v>44378</v>
      </c>
      <c r="I42" s="394"/>
      <c r="J42" s="330" t="s">
        <v>370</v>
      </c>
      <c r="K42" s="52">
        <v>44369</v>
      </c>
      <c r="L42" s="330">
        <v>44369</v>
      </c>
      <c r="M42" s="299">
        <v>44461</v>
      </c>
      <c r="N42" s="329">
        <v>44461</v>
      </c>
      <c r="O42" s="346" t="e">
        <f t="shared" ref="O42:O49" si="18">N42-J42</f>
        <v>#VALUE!</v>
      </c>
      <c r="P42" s="344">
        <f t="shared" ref="P42:Q49" si="19">M42-K42</f>
        <v>92</v>
      </c>
      <c r="Q42" s="333">
        <f t="shared" si="19"/>
        <v>92</v>
      </c>
      <c r="R42" s="52" t="s">
        <v>370</v>
      </c>
      <c r="S42" s="377">
        <v>44399</v>
      </c>
      <c r="T42" s="52">
        <v>44880</v>
      </c>
      <c r="U42" s="50">
        <v>13</v>
      </c>
      <c r="V42" s="50">
        <f t="shared" ref="V42:V49" si="20">((T42-S42)/7)/4.3</f>
        <v>15.980066445182723</v>
      </c>
      <c r="W42" s="50"/>
      <c r="X42" s="52"/>
      <c r="Y42" s="50" t="s">
        <v>370</v>
      </c>
      <c r="Z42" s="182">
        <v>12193746.800000001</v>
      </c>
      <c r="AA42" s="211">
        <v>3069014.06</v>
      </c>
      <c r="AB42" s="211">
        <v>532188.35</v>
      </c>
      <c r="AC42" s="211">
        <v>1527507.98</v>
      </c>
      <c r="AD42" s="211">
        <v>798302.17</v>
      </c>
      <c r="AE42" s="275">
        <v>1000000</v>
      </c>
      <c r="AF42" s="275">
        <v>1000000</v>
      </c>
      <c r="AG42" s="275">
        <v>1000000</v>
      </c>
      <c r="AH42" s="275">
        <v>1000000</v>
      </c>
      <c r="AI42" s="275">
        <v>1000000</v>
      </c>
      <c r="AJ42" s="275">
        <v>750000</v>
      </c>
      <c r="AK42" s="275">
        <v>250000</v>
      </c>
      <c r="AL42" s="275">
        <v>65036.41</v>
      </c>
      <c r="AM42" s="58"/>
      <c r="AN42" s="53"/>
      <c r="AO42" s="47"/>
      <c r="AP42" s="53">
        <f t="shared" ref="AP42:AP50" si="21">SUM(AA42:AO42)</f>
        <v>11992048.970000001</v>
      </c>
      <c r="AQ42" s="51"/>
      <c r="AR42" s="359">
        <f t="shared" si="10"/>
        <v>-201697.83000000007</v>
      </c>
    </row>
    <row r="43" spans="1:46" s="36" customFormat="1" ht="15.75" x14ac:dyDescent="0.25">
      <c r="A43" s="386" t="s">
        <v>647</v>
      </c>
      <c r="B43" s="374" t="s">
        <v>604</v>
      </c>
      <c r="C43" s="423" t="s">
        <v>815</v>
      </c>
      <c r="D43" s="52" t="s">
        <v>885</v>
      </c>
      <c r="E43" s="423" t="s">
        <v>893</v>
      </c>
      <c r="F43" s="112" t="s">
        <v>684</v>
      </c>
      <c r="G43" s="52" t="s">
        <v>623</v>
      </c>
      <c r="H43" s="52" t="s">
        <v>320</v>
      </c>
      <c r="I43" s="423"/>
      <c r="J43" s="329" t="s">
        <v>370</v>
      </c>
      <c r="K43" s="87">
        <v>44690</v>
      </c>
      <c r="L43" s="87">
        <v>44692</v>
      </c>
      <c r="M43" s="87">
        <f>K43+45</f>
        <v>44735</v>
      </c>
      <c r="N43" s="87">
        <f>L43+45</f>
        <v>44737</v>
      </c>
      <c r="O43" s="88" t="e">
        <f t="shared" si="18"/>
        <v>#VALUE!</v>
      </c>
      <c r="P43" s="88">
        <f t="shared" si="19"/>
        <v>45</v>
      </c>
      <c r="Q43" s="88">
        <f t="shared" si="19"/>
        <v>45</v>
      </c>
      <c r="R43" s="52" t="s">
        <v>320</v>
      </c>
      <c r="S43" s="376">
        <v>44743</v>
      </c>
      <c r="T43" s="87">
        <f>S43+(6*4.3*7)</f>
        <v>44923.6</v>
      </c>
      <c r="U43" s="88">
        <v>6</v>
      </c>
      <c r="V43" s="88">
        <f t="shared" si="20"/>
        <v>5.999999999999952</v>
      </c>
      <c r="W43" s="50"/>
      <c r="X43" s="52"/>
      <c r="Y43" s="50"/>
      <c r="Z43" s="189">
        <v>980000</v>
      </c>
      <c r="AA43" s="211">
        <v>0</v>
      </c>
      <c r="AB43" s="211">
        <v>0</v>
      </c>
      <c r="AC43" s="211">
        <v>0</v>
      </c>
      <c r="AD43" s="211">
        <v>0</v>
      </c>
      <c r="AE43" s="275">
        <v>100000</v>
      </c>
      <c r="AF43" s="275">
        <v>125000</v>
      </c>
      <c r="AG43" s="275">
        <v>150000</v>
      </c>
      <c r="AH43" s="275">
        <v>200000</v>
      </c>
      <c r="AI43" s="275">
        <v>200000</v>
      </c>
      <c r="AJ43" s="275">
        <v>155000</v>
      </c>
      <c r="AK43" s="58"/>
      <c r="AL43" s="58"/>
      <c r="AM43" s="58"/>
      <c r="AN43" s="58"/>
      <c r="AO43" s="47"/>
      <c r="AP43" s="53">
        <f t="shared" si="21"/>
        <v>930000</v>
      </c>
      <c r="AQ43" s="51"/>
      <c r="AR43" s="359">
        <f t="shared" si="10"/>
        <v>-50000</v>
      </c>
    </row>
    <row r="44" spans="1:46" s="36" customFormat="1" ht="15.75" x14ac:dyDescent="0.25">
      <c r="A44" s="386" t="s">
        <v>648</v>
      </c>
      <c r="B44" s="393" t="s">
        <v>605</v>
      </c>
      <c r="C44" s="423" t="s">
        <v>815</v>
      </c>
      <c r="D44" s="52" t="s">
        <v>885</v>
      </c>
      <c r="E44" s="423" t="s">
        <v>893</v>
      </c>
      <c r="F44" s="112" t="s">
        <v>684</v>
      </c>
      <c r="G44" s="52" t="s">
        <v>623</v>
      </c>
      <c r="H44" s="52" t="s">
        <v>320</v>
      </c>
      <c r="I44" s="423"/>
      <c r="J44" s="329" t="s">
        <v>370</v>
      </c>
      <c r="K44" s="87">
        <v>44690</v>
      </c>
      <c r="L44" s="87">
        <v>44692</v>
      </c>
      <c r="M44" s="87">
        <f t="shared" ref="M44:M49" si="22">K44+45</f>
        <v>44735</v>
      </c>
      <c r="N44" s="87">
        <f>L44+45</f>
        <v>44737</v>
      </c>
      <c r="O44" s="88" t="e">
        <f t="shared" si="18"/>
        <v>#VALUE!</v>
      </c>
      <c r="P44" s="88">
        <f t="shared" si="19"/>
        <v>45</v>
      </c>
      <c r="Q44" s="88">
        <f t="shared" si="19"/>
        <v>45</v>
      </c>
      <c r="R44" s="52" t="s">
        <v>320</v>
      </c>
      <c r="S44" s="376">
        <v>44743</v>
      </c>
      <c r="T44" s="87">
        <f>S44+(6*4.3*7)</f>
        <v>44923.6</v>
      </c>
      <c r="U44" s="88">
        <v>6</v>
      </c>
      <c r="V44" s="88">
        <f t="shared" si="20"/>
        <v>5.999999999999952</v>
      </c>
      <c r="W44" s="50"/>
      <c r="X44" s="52"/>
      <c r="Y44" s="50"/>
      <c r="Z44" s="189">
        <v>1558000</v>
      </c>
      <c r="AA44" s="211">
        <v>0</v>
      </c>
      <c r="AB44" s="211">
        <v>0</v>
      </c>
      <c r="AC44" s="211">
        <v>0</v>
      </c>
      <c r="AD44" s="211">
        <v>0</v>
      </c>
      <c r="AE44" s="275">
        <v>125000</v>
      </c>
      <c r="AF44" s="275">
        <v>225000</v>
      </c>
      <c r="AG44" s="275">
        <v>300000</v>
      </c>
      <c r="AH44" s="275">
        <v>300000</v>
      </c>
      <c r="AI44" s="275">
        <v>300000</v>
      </c>
      <c r="AJ44" s="275">
        <v>258000</v>
      </c>
      <c r="AK44" s="58"/>
      <c r="AL44" s="58"/>
      <c r="AM44" s="58"/>
      <c r="AN44" s="58"/>
      <c r="AO44" s="47"/>
      <c r="AP44" s="53">
        <f t="shared" si="21"/>
        <v>1508000</v>
      </c>
      <c r="AQ44" s="51"/>
      <c r="AR44" s="359">
        <f t="shared" si="10"/>
        <v>-50000</v>
      </c>
    </row>
    <row r="45" spans="1:46" s="36" customFormat="1" ht="15.75" x14ac:dyDescent="0.25">
      <c r="A45" s="461" t="s">
        <v>649</v>
      </c>
      <c r="B45" s="410" t="s">
        <v>606</v>
      </c>
      <c r="C45" s="426" t="s">
        <v>815</v>
      </c>
      <c r="D45" s="52" t="s">
        <v>885</v>
      </c>
      <c r="E45" s="423" t="s">
        <v>893</v>
      </c>
      <c r="F45" s="180" t="s">
        <v>684</v>
      </c>
      <c r="G45" s="52" t="s">
        <v>623</v>
      </c>
      <c r="H45" s="52" t="s">
        <v>320</v>
      </c>
      <c r="I45" s="426"/>
      <c r="J45" s="329" t="s">
        <v>370</v>
      </c>
      <c r="K45" s="87">
        <v>44622</v>
      </c>
      <c r="L45" s="329">
        <v>44622</v>
      </c>
      <c r="M45" s="87">
        <f>K45+37</f>
        <v>44659</v>
      </c>
      <c r="N45" s="87">
        <v>44659</v>
      </c>
      <c r="O45" s="88" t="e">
        <f t="shared" si="18"/>
        <v>#VALUE!</v>
      </c>
      <c r="P45" s="88">
        <f t="shared" si="19"/>
        <v>37</v>
      </c>
      <c r="Q45" s="88">
        <f t="shared" si="19"/>
        <v>37</v>
      </c>
      <c r="R45" s="52" t="s">
        <v>320</v>
      </c>
      <c r="S45" s="376">
        <f>N45+30</f>
        <v>44689</v>
      </c>
      <c r="T45" s="276">
        <f>S45+(6*4.3*7)</f>
        <v>44869.599999999999</v>
      </c>
      <c r="U45" s="491">
        <v>6</v>
      </c>
      <c r="V45" s="84">
        <f t="shared" si="20"/>
        <v>5.999999999999952</v>
      </c>
      <c r="W45" s="50"/>
      <c r="X45" s="52"/>
      <c r="Y45" s="50"/>
      <c r="Z45" s="189">
        <v>540000</v>
      </c>
      <c r="AA45" s="211">
        <v>0</v>
      </c>
      <c r="AB45" s="211">
        <v>0</v>
      </c>
      <c r="AC45" s="211">
        <v>0</v>
      </c>
      <c r="AD45" s="211">
        <v>0</v>
      </c>
      <c r="AE45" s="275">
        <v>75000</v>
      </c>
      <c r="AF45" s="275">
        <v>90000</v>
      </c>
      <c r="AG45" s="275">
        <v>100000</v>
      </c>
      <c r="AH45" s="275">
        <v>100000</v>
      </c>
      <c r="AI45" s="275">
        <v>100000</v>
      </c>
      <c r="AJ45" s="275">
        <v>50000</v>
      </c>
      <c r="AK45" s="58"/>
      <c r="AL45" s="58"/>
      <c r="AM45" s="58"/>
      <c r="AN45" s="58"/>
      <c r="AO45" s="47"/>
      <c r="AP45" s="53">
        <f t="shared" si="21"/>
        <v>515000</v>
      </c>
      <c r="AQ45" s="51"/>
      <c r="AR45" s="359">
        <f t="shared" si="10"/>
        <v>-25000</v>
      </c>
    </row>
    <row r="46" spans="1:46" s="452" customFormat="1" ht="15.75" x14ac:dyDescent="0.25">
      <c r="A46" s="374" t="s">
        <v>650</v>
      </c>
      <c r="B46" s="374" t="s">
        <v>900</v>
      </c>
      <c r="C46" s="394" t="s">
        <v>815</v>
      </c>
      <c r="D46" s="52" t="s">
        <v>885</v>
      </c>
      <c r="E46" s="423" t="s">
        <v>893</v>
      </c>
      <c r="F46" s="396" t="s">
        <v>684</v>
      </c>
      <c r="G46" s="52" t="s">
        <v>623</v>
      </c>
      <c r="H46" s="52" t="s">
        <v>320</v>
      </c>
      <c r="I46" s="394"/>
      <c r="J46" s="329" t="s">
        <v>370</v>
      </c>
      <c r="K46" s="87">
        <v>44662</v>
      </c>
      <c r="L46" s="87">
        <v>44666</v>
      </c>
      <c r="M46" s="87">
        <f t="shared" si="22"/>
        <v>44707</v>
      </c>
      <c r="N46" s="87">
        <f>L46+45</f>
        <v>44711</v>
      </c>
      <c r="O46" s="88" t="e">
        <f t="shared" si="18"/>
        <v>#VALUE!</v>
      </c>
      <c r="P46" s="88">
        <f t="shared" si="19"/>
        <v>45</v>
      </c>
      <c r="Q46" s="88">
        <f t="shared" si="19"/>
        <v>45</v>
      </c>
      <c r="R46" s="52" t="s">
        <v>320</v>
      </c>
      <c r="S46" s="376">
        <v>44652</v>
      </c>
      <c r="T46" s="276">
        <f>S46+(6*4.3*7)</f>
        <v>44832.6</v>
      </c>
      <c r="U46" s="491">
        <v>6</v>
      </c>
      <c r="V46" s="84">
        <f t="shared" si="20"/>
        <v>5.999999999999952</v>
      </c>
      <c r="W46" s="50"/>
      <c r="X46" s="52"/>
      <c r="Y46" s="50"/>
      <c r="Z46" s="189">
        <v>800000</v>
      </c>
      <c r="AA46" s="211">
        <v>0</v>
      </c>
      <c r="AB46" s="211">
        <v>0</v>
      </c>
      <c r="AC46" s="211">
        <v>0</v>
      </c>
      <c r="AD46" s="211">
        <v>0</v>
      </c>
      <c r="AE46" s="275">
        <v>125000</v>
      </c>
      <c r="AF46" s="275">
        <v>125000</v>
      </c>
      <c r="AG46" s="275">
        <v>150000</v>
      </c>
      <c r="AH46" s="275">
        <v>150000</v>
      </c>
      <c r="AI46" s="275">
        <v>125000</v>
      </c>
      <c r="AJ46" s="275">
        <v>50000</v>
      </c>
      <c r="AK46" s="58"/>
      <c r="AL46" s="58"/>
      <c r="AM46" s="58"/>
      <c r="AN46" s="53"/>
      <c r="AO46" s="47"/>
      <c r="AP46" s="53">
        <f t="shared" si="21"/>
        <v>725000</v>
      </c>
      <c r="AQ46" s="51"/>
      <c r="AR46" s="359">
        <f t="shared" si="10"/>
        <v>-75000</v>
      </c>
      <c r="AS46" s="36"/>
      <c r="AT46" s="36"/>
    </row>
    <row r="47" spans="1:46" s="36" customFormat="1" ht="15.75" x14ac:dyDescent="0.25">
      <c r="A47" s="374" t="s">
        <v>651</v>
      </c>
      <c r="B47" s="374" t="s">
        <v>608</v>
      </c>
      <c r="C47" s="52" t="s">
        <v>815</v>
      </c>
      <c r="D47" s="52" t="s">
        <v>885</v>
      </c>
      <c r="E47" s="423" t="s">
        <v>893</v>
      </c>
      <c r="F47" s="113" t="s">
        <v>684</v>
      </c>
      <c r="G47" s="52" t="s">
        <v>623</v>
      </c>
      <c r="H47" s="52" t="s">
        <v>320</v>
      </c>
      <c r="I47" s="52"/>
      <c r="J47" s="329" t="s">
        <v>370</v>
      </c>
      <c r="K47" s="87">
        <v>44690</v>
      </c>
      <c r="L47" s="87">
        <v>44735</v>
      </c>
      <c r="M47" s="87">
        <f t="shared" si="22"/>
        <v>44735</v>
      </c>
      <c r="N47" s="87">
        <f>L47+45</f>
        <v>44780</v>
      </c>
      <c r="O47" s="88" t="e">
        <f t="shared" si="18"/>
        <v>#VALUE!</v>
      </c>
      <c r="P47" s="88">
        <f t="shared" si="19"/>
        <v>45</v>
      </c>
      <c r="Q47" s="88">
        <f t="shared" si="19"/>
        <v>45</v>
      </c>
      <c r="R47" s="52" t="s">
        <v>320</v>
      </c>
      <c r="S47" s="376">
        <v>44652</v>
      </c>
      <c r="T47" s="276">
        <f>S47+(6*4.3*7)</f>
        <v>44832.6</v>
      </c>
      <c r="U47" s="491">
        <v>6</v>
      </c>
      <c r="V47" s="84">
        <f t="shared" si="20"/>
        <v>5.999999999999952</v>
      </c>
      <c r="W47" s="50"/>
      <c r="X47" s="52"/>
      <c r="Y47" s="50"/>
      <c r="Z47" s="189">
        <v>690000</v>
      </c>
      <c r="AA47" s="211">
        <v>0</v>
      </c>
      <c r="AB47" s="211">
        <v>0</v>
      </c>
      <c r="AC47" s="211">
        <v>0</v>
      </c>
      <c r="AD47" s="211">
        <v>0</v>
      </c>
      <c r="AE47" s="275">
        <v>100000</v>
      </c>
      <c r="AF47" s="275">
        <v>120000</v>
      </c>
      <c r="AG47" s="275">
        <v>120000</v>
      </c>
      <c r="AH47" s="275">
        <v>120000</v>
      </c>
      <c r="AI47" s="275">
        <v>120000</v>
      </c>
      <c r="AJ47" s="275">
        <v>60000</v>
      </c>
      <c r="AK47" s="58"/>
      <c r="AL47" s="58"/>
      <c r="AM47" s="58"/>
      <c r="AN47" s="53"/>
      <c r="AO47" s="47"/>
      <c r="AP47" s="53">
        <f t="shared" si="21"/>
        <v>640000</v>
      </c>
      <c r="AQ47" s="51"/>
      <c r="AR47" s="359">
        <f t="shared" si="10"/>
        <v>-50000</v>
      </c>
      <c r="AT47" s="55"/>
    </row>
    <row r="48" spans="1:46" s="36" customFormat="1" ht="15.75" x14ac:dyDescent="0.25">
      <c r="A48" s="374" t="s">
        <v>901</v>
      </c>
      <c r="B48" s="374" t="s">
        <v>904</v>
      </c>
      <c r="C48" s="52" t="s">
        <v>815</v>
      </c>
      <c r="D48" s="52" t="s">
        <v>885</v>
      </c>
      <c r="E48" s="423" t="s">
        <v>893</v>
      </c>
      <c r="F48" s="113" t="s">
        <v>929</v>
      </c>
      <c r="G48" s="52" t="s">
        <v>623</v>
      </c>
      <c r="H48" s="52" t="s">
        <v>320</v>
      </c>
      <c r="I48" s="52"/>
      <c r="J48" s="329" t="s">
        <v>370</v>
      </c>
      <c r="K48" s="87">
        <v>44690</v>
      </c>
      <c r="L48" s="87">
        <v>44735</v>
      </c>
      <c r="M48" s="87">
        <f t="shared" si="22"/>
        <v>44735</v>
      </c>
      <c r="N48" s="87">
        <f>L48+45</f>
        <v>44780</v>
      </c>
      <c r="O48" s="88" t="e">
        <f t="shared" si="18"/>
        <v>#VALUE!</v>
      </c>
      <c r="P48" s="88">
        <f t="shared" si="19"/>
        <v>45</v>
      </c>
      <c r="Q48" s="88">
        <f t="shared" si="19"/>
        <v>45</v>
      </c>
      <c r="R48" s="52" t="s">
        <v>320</v>
      </c>
      <c r="S48" s="376"/>
      <c r="T48" s="276"/>
      <c r="U48" s="491"/>
      <c r="V48" s="84">
        <f t="shared" si="20"/>
        <v>0</v>
      </c>
      <c r="W48" s="50"/>
      <c r="X48" s="52"/>
      <c r="Y48" s="50"/>
      <c r="Z48" s="189"/>
      <c r="AA48" s="211">
        <v>0</v>
      </c>
      <c r="AB48" s="211">
        <v>0</v>
      </c>
      <c r="AC48" s="211">
        <v>0</v>
      </c>
      <c r="AD48" s="211">
        <v>0</v>
      </c>
      <c r="AE48" s="275"/>
      <c r="AF48" s="275"/>
      <c r="AG48" s="275"/>
      <c r="AH48" s="275"/>
      <c r="AI48" s="275"/>
      <c r="AJ48" s="275"/>
      <c r="AK48" s="58"/>
      <c r="AL48" s="58"/>
      <c r="AM48" s="58"/>
      <c r="AN48" s="53"/>
      <c r="AO48" s="47"/>
      <c r="AP48" s="53">
        <f t="shared" si="21"/>
        <v>0</v>
      </c>
      <c r="AQ48" s="51"/>
      <c r="AR48" s="359">
        <f t="shared" si="10"/>
        <v>0</v>
      </c>
      <c r="AT48" s="55"/>
    </row>
    <row r="49" spans="1:46" s="36" customFormat="1" ht="15.75" x14ac:dyDescent="0.25">
      <c r="A49" s="374" t="s">
        <v>902</v>
      </c>
      <c r="B49" s="374" t="s">
        <v>905</v>
      </c>
      <c r="C49" s="52" t="s">
        <v>815</v>
      </c>
      <c r="D49" s="52" t="s">
        <v>885</v>
      </c>
      <c r="E49" s="423" t="s">
        <v>893</v>
      </c>
      <c r="F49" s="113" t="s">
        <v>930</v>
      </c>
      <c r="G49" s="52" t="s">
        <v>623</v>
      </c>
      <c r="H49" s="52" t="s">
        <v>320</v>
      </c>
      <c r="I49" s="52"/>
      <c r="J49" s="329" t="s">
        <v>370</v>
      </c>
      <c r="K49" s="87">
        <v>44690</v>
      </c>
      <c r="L49" s="87">
        <v>44735</v>
      </c>
      <c r="M49" s="87">
        <f t="shared" si="22"/>
        <v>44735</v>
      </c>
      <c r="N49" s="87">
        <f>L49+45</f>
        <v>44780</v>
      </c>
      <c r="O49" s="88" t="e">
        <f t="shared" si="18"/>
        <v>#VALUE!</v>
      </c>
      <c r="P49" s="88">
        <f t="shared" si="19"/>
        <v>45</v>
      </c>
      <c r="Q49" s="88">
        <f t="shared" si="19"/>
        <v>45</v>
      </c>
      <c r="R49" s="52" t="s">
        <v>320</v>
      </c>
      <c r="S49" s="376">
        <v>44780</v>
      </c>
      <c r="T49" s="276">
        <v>44958</v>
      </c>
      <c r="U49" s="491"/>
      <c r="V49" s="84">
        <f t="shared" si="20"/>
        <v>5.9136212624584719</v>
      </c>
      <c r="W49" s="50"/>
      <c r="X49" s="52"/>
      <c r="Y49" s="50"/>
      <c r="Z49" s="189"/>
      <c r="AA49" s="211">
        <v>0</v>
      </c>
      <c r="AB49" s="211">
        <v>0</v>
      </c>
      <c r="AC49" s="211">
        <v>0</v>
      </c>
      <c r="AD49" s="211">
        <v>0</v>
      </c>
      <c r="AE49" s="275"/>
      <c r="AF49" s="275"/>
      <c r="AG49" s="275"/>
      <c r="AH49" s="275"/>
      <c r="AI49" s="275"/>
      <c r="AJ49" s="275"/>
      <c r="AK49" s="58"/>
      <c r="AL49" s="58"/>
      <c r="AM49" s="58"/>
      <c r="AN49" s="53"/>
      <c r="AO49" s="47"/>
      <c r="AP49" s="53">
        <f t="shared" si="21"/>
        <v>0</v>
      </c>
      <c r="AQ49" s="51"/>
      <c r="AR49" s="359">
        <f t="shared" si="10"/>
        <v>0</v>
      </c>
      <c r="AT49" s="55"/>
    </row>
    <row r="50" spans="1:46" s="36" customFormat="1" ht="15.75" x14ac:dyDescent="0.25">
      <c r="A50" s="374" t="s">
        <v>903</v>
      </c>
      <c r="B50" s="374" t="s">
        <v>906</v>
      </c>
      <c r="C50" s="52" t="s">
        <v>815</v>
      </c>
      <c r="D50" s="52" t="s">
        <v>885</v>
      </c>
      <c r="E50" s="423" t="s">
        <v>893</v>
      </c>
      <c r="F50" s="113" t="s">
        <v>931</v>
      </c>
      <c r="G50" s="52" t="s">
        <v>623</v>
      </c>
      <c r="H50" s="52" t="s">
        <v>320</v>
      </c>
      <c r="I50" s="52"/>
      <c r="J50" s="329" t="s">
        <v>370</v>
      </c>
      <c r="K50" s="329" t="s">
        <v>24</v>
      </c>
      <c r="L50" s="329" t="s">
        <v>24</v>
      </c>
      <c r="M50" s="329" t="s">
        <v>24</v>
      </c>
      <c r="N50" s="329" t="s">
        <v>24</v>
      </c>
      <c r="O50" s="329" t="s">
        <v>24</v>
      </c>
      <c r="P50" s="329" t="s">
        <v>24</v>
      </c>
      <c r="Q50" s="346" t="s">
        <v>24</v>
      </c>
      <c r="R50" s="346" t="s">
        <v>24</v>
      </c>
      <c r="S50" s="346" t="s">
        <v>24</v>
      </c>
      <c r="T50" s="346" t="s">
        <v>24</v>
      </c>
      <c r="U50" s="346" t="s">
        <v>24</v>
      </c>
      <c r="V50" s="346" t="s">
        <v>24</v>
      </c>
      <c r="W50" s="346" t="s">
        <v>24</v>
      </c>
      <c r="X50" s="346" t="s">
        <v>24</v>
      </c>
      <c r="Y50" s="346" t="s">
        <v>24</v>
      </c>
      <c r="Z50" s="189"/>
      <c r="AA50" s="211">
        <v>0</v>
      </c>
      <c r="AB50" s="211">
        <v>0</v>
      </c>
      <c r="AC50" s="211">
        <v>0</v>
      </c>
      <c r="AD50" s="211">
        <v>0</v>
      </c>
      <c r="AE50" s="275"/>
      <c r="AF50" s="275"/>
      <c r="AG50" s="275"/>
      <c r="AH50" s="275"/>
      <c r="AI50" s="275"/>
      <c r="AJ50" s="275"/>
      <c r="AK50" s="58"/>
      <c r="AL50" s="58"/>
      <c r="AM50" s="58"/>
      <c r="AN50" s="53"/>
      <c r="AO50" s="47"/>
      <c r="AP50" s="53">
        <f t="shared" si="21"/>
        <v>0</v>
      </c>
      <c r="AQ50" s="51"/>
      <c r="AR50" s="359">
        <f t="shared" si="10"/>
        <v>0</v>
      </c>
      <c r="AT50" s="55"/>
    </row>
    <row r="51" spans="1:46" s="36" customFormat="1" ht="15.75" x14ac:dyDescent="0.25">
      <c r="A51" s="99"/>
      <c r="B51" s="99"/>
      <c r="C51" s="395"/>
      <c r="D51" s="91"/>
      <c r="E51" s="467"/>
      <c r="F51" s="391"/>
      <c r="G51" s="91"/>
      <c r="H51" s="91"/>
      <c r="I51" s="395"/>
      <c r="J51" s="91"/>
      <c r="K51" s="91"/>
      <c r="L51" s="91"/>
      <c r="M51" s="91"/>
      <c r="N51" s="91"/>
      <c r="O51" s="92"/>
      <c r="P51" s="91"/>
      <c r="Q51" s="92"/>
      <c r="R51" s="91"/>
      <c r="S51" s="91"/>
      <c r="T51" s="91"/>
      <c r="U51" s="92"/>
      <c r="V51" s="91"/>
      <c r="W51" s="92"/>
      <c r="X51" s="91"/>
      <c r="Y51" s="92"/>
      <c r="Z51" s="59">
        <f t="shared" ref="Z51:AN51" si="23">SUBTOTAL(9,Z42)</f>
        <v>12193746.800000001</v>
      </c>
      <c r="AA51" s="243">
        <f t="shared" si="23"/>
        <v>3069014.06</v>
      </c>
      <c r="AB51" s="243">
        <f t="shared" si="23"/>
        <v>532188.35</v>
      </c>
      <c r="AC51" s="243">
        <f t="shared" si="23"/>
        <v>1527507.98</v>
      </c>
      <c r="AD51" s="59">
        <f t="shared" si="23"/>
        <v>798302.17</v>
      </c>
      <c r="AE51" s="59">
        <f t="shared" si="23"/>
        <v>1000000</v>
      </c>
      <c r="AF51" s="59">
        <f t="shared" si="23"/>
        <v>1000000</v>
      </c>
      <c r="AG51" s="59">
        <f t="shared" si="23"/>
        <v>1000000</v>
      </c>
      <c r="AH51" s="59">
        <f t="shared" si="23"/>
        <v>1000000</v>
      </c>
      <c r="AI51" s="59">
        <f t="shared" si="23"/>
        <v>1000000</v>
      </c>
      <c r="AJ51" s="59">
        <f t="shared" si="23"/>
        <v>750000</v>
      </c>
      <c r="AK51" s="59">
        <f t="shared" si="23"/>
        <v>250000</v>
      </c>
      <c r="AL51" s="59">
        <f t="shared" si="23"/>
        <v>65036.41</v>
      </c>
      <c r="AM51" s="59">
        <f t="shared" si="23"/>
        <v>0</v>
      </c>
      <c r="AN51" s="59">
        <f t="shared" si="23"/>
        <v>0</v>
      </c>
      <c r="AO51" s="47"/>
      <c r="AP51" s="59">
        <f>SUBTOTAL(9,AP42)</f>
        <v>11992048.970000001</v>
      </c>
      <c r="AQ51" s="51"/>
      <c r="AR51" s="359">
        <f t="shared" si="10"/>
        <v>-201697.83000000007</v>
      </c>
    </row>
    <row r="52" spans="1:46" s="36" customFormat="1" ht="15.75" x14ac:dyDescent="0.25">
      <c r="A52" s="381" t="s">
        <v>52</v>
      </c>
      <c r="B52" s="381"/>
      <c r="C52" s="433"/>
      <c r="D52" s="102"/>
      <c r="E52" s="433"/>
      <c r="F52" s="387"/>
      <c r="G52" s="102"/>
      <c r="H52" s="102"/>
      <c r="I52" s="433"/>
      <c r="J52" s="102"/>
      <c r="K52" s="102"/>
      <c r="L52" s="276"/>
      <c r="M52" s="276"/>
      <c r="N52" s="276"/>
      <c r="O52" s="84"/>
      <c r="P52" s="276"/>
      <c r="Q52" s="84"/>
      <c r="R52" s="102"/>
      <c r="S52" s="102"/>
      <c r="T52" s="102"/>
      <c r="U52" s="84"/>
      <c r="V52" s="102"/>
      <c r="W52" s="102"/>
      <c r="X52" s="276"/>
      <c r="Y52" s="102"/>
      <c r="Z52" s="102"/>
      <c r="AA52" s="495"/>
      <c r="AB52" s="495"/>
      <c r="AC52" s="495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47"/>
      <c r="AP52" s="103"/>
      <c r="AQ52" s="51"/>
      <c r="AR52" s="359">
        <f t="shared" si="10"/>
        <v>0</v>
      </c>
    </row>
    <row r="53" spans="1:46" s="36" customFormat="1" ht="15.75" x14ac:dyDescent="0.25">
      <c r="A53" s="34" t="s">
        <v>185</v>
      </c>
      <c r="B53" s="34" t="s">
        <v>622</v>
      </c>
      <c r="C53" s="434" t="s">
        <v>324</v>
      </c>
      <c r="D53" s="394" t="s">
        <v>402</v>
      </c>
      <c r="E53" s="394" t="s">
        <v>890</v>
      </c>
      <c r="F53" s="396" t="s">
        <v>696</v>
      </c>
      <c r="G53" s="52" t="s">
        <v>46</v>
      </c>
      <c r="H53" s="329">
        <v>44358</v>
      </c>
      <c r="I53" s="434"/>
      <c r="J53" s="330" t="s">
        <v>370</v>
      </c>
      <c r="K53" s="52">
        <v>44328</v>
      </c>
      <c r="L53" s="330">
        <v>44328</v>
      </c>
      <c r="M53" s="299">
        <v>44418</v>
      </c>
      <c r="N53" s="330">
        <v>44418</v>
      </c>
      <c r="O53" s="333" t="e">
        <f t="shared" ref="O53:O58" si="24">N53-J53</f>
        <v>#VALUE!</v>
      </c>
      <c r="P53" s="301">
        <f t="shared" ref="P53:Q58" si="25">M53-K53</f>
        <v>90</v>
      </c>
      <c r="Q53" s="333">
        <f t="shared" si="25"/>
        <v>90</v>
      </c>
      <c r="R53" s="52" t="s">
        <v>370</v>
      </c>
      <c r="S53" s="330">
        <v>44424</v>
      </c>
      <c r="T53" s="87">
        <v>44701</v>
      </c>
      <c r="U53" s="50">
        <v>9</v>
      </c>
      <c r="V53" s="50">
        <f t="shared" ref="V53:V58" si="26">((T53-S53)/7)/4.3</f>
        <v>9.2026578073089702</v>
      </c>
      <c r="W53" s="50"/>
      <c r="X53" s="52"/>
      <c r="Y53" s="50" t="s">
        <v>370</v>
      </c>
      <c r="Z53" s="182">
        <v>1961015.83</v>
      </c>
      <c r="AA53" s="211">
        <v>952423.7300000001</v>
      </c>
      <c r="AB53" s="211">
        <v>173273.61</v>
      </c>
      <c r="AC53" s="211">
        <v>93239.18</v>
      </c>
      <c r="AD53" s="211">
        <v>115103.75</v>
      </c>
      <c r="AE53" s="275">
        <v>225000</v>
      </c>
      <c r="AF53" s="275">
        <v>225000</v>
      </c>
      <c r="AG53" s="275">
        <v>67079.31</v>
      </c>
      <c r="AH53" s="58"/>
      <c r="AI53" s="58"/>
      <c r="AJ53" s="58"/>
      <c r="AK53" s="58"/>
      <c r="AL53" s="58"/>
      <c r="AM53" s="58"/>
      <c r="AN53" s="53"/>
      <c r="AO53" s="47"/>
      <c r="AP53" s="53">
        <f t="shared" ref="AP53:AP58" si="27">SUM(AA53:AO53)</f>
        <v>1851119.58</v>
      </c>
      <c r="AQ53" s="51"/>
      <c r="AR53" s="359">
        <f t="shared" si="10"/>
        <v>-109896.25</v>
      </c>
      <c r="AT53" s="55"/>
    </row>
    <row r="54" spans="1:46" s="36" customFormat="1" ht="15.75" x14ac:dyDescent="0.25">
      <c r="A54" s="374" t="s">
        <v>206</v>
      </c>
      <c r="B54" s="374" t="s">
        <v>207</v>
      </c>
      <c r="C54" s="52" t="s">
        <v>822</v>
      </c>
      <c r="D54" s="52" t="s">
        <v>778</v>
      </c>
      <c r="E54" s="52" t="s">
        <v>892</v>
      </c>
      <c r="F54" s="113" t="s">
        <v>932</v>
      </c>
      <c r="G54" s="52" t="s">
        <v>623</v>
      </c>
      <c r="H54" s="52">
        <v>44662</v>
      </c>
      <c r="I54" s="52"/>
      <c r="J54" s="329">
        <v>44650</v>
      </c>
      <c r="K54" s="87">
        <v>44592</v>
      </c>
      <c r="L54" s="329">
        <v>44595</v>
      </c>
      <c r="M54" s="299">
        <v>44637</v>
      </c>
      <c r="N54" s="87">
        <f>L54+30</f>
        <v>44625</v>
      </c>
      <c r="O54" s="88">
        <f>N54-J54</f>
        <v>-25</v>
      </c>
      <c r="P54" s="50">
        <f t="shared" si="25"/>
        <v>45</v>
      </c>
      <c r="Q54" s="88">
        <f t="shared" si="25"/>
        <v>30</v>
      </c>
      <c r="R54" s="52" t="s">
        <v>320</v>
      </c>
      <c r="S54" s="376">
        <f>N54</f>
        <v>44625</v>
      </c>
      <c r="T54" s="347">
        <f>S54+(6*4.3*7)</f>
        <v>44805.599999999999</v>
      </c>
      <c r="U54" s="50">
        <v>5.999999999999952</v>
      </c>
      <c r="V54" s="50">
        <f>((T54-S54)/7)/4.3</f>
        <v>5.999999999999952</v>
      </c>
      <c r="W54" s="50"/>
      <c r="X54" s="52"/>
      <c r="Y54" s="50"/>
      <c r="Z54" s="53">
        <v>2500000</v>
      </c>
      <c r="AA54" s="211">
        <v>0</v>
      </c>
      <c r="AB54" s="211">
        <v>0</v>
      </c>
      <c r="AC54" s="211">
        <v>0</v>
      </c>
      <c r="AD54" s="211">
        <v>0</v>
      </c>
      <c r="AE54" s="275">
        <v>125000</v>
      </c>
      <c r="AF54" s="275">
        <v>200000</v>
      </c>
      <c r="AG54" s="275">
        <v>200000</v>
      </c>
      <c r="AH54" s="275">
        <v>200000</v>
      </c>
      <c r="AI54" s="275">
        <v>200000</v>
      </c>
      <c r="AJ54" s="275">
        <v>200000</v>
      </c>
      <c r="AK54" s="275">
        <v>200000</v>
      </c>
      <c r="AL54" s="275">
        <v>200000</v>
      </c>
      <c r="AM54" s="275">
        <v>200000</v>
      </c>
      <c r="AN54" s="275">
        <v>700000</v>
      </c>
      <c r="AO54" s="47"/>
      <c r="AP54" s="53">
        <f>SUM(AA54:AO54)</f>
        <v>2425000</v>
      </c>
      <c r="AQ54" s="51"/>
      <c r="AR54" s="359">
        <f>AP54-Z54</f>
        <v>-75000</v>
      </c>
    </row>
    <row r="55" spans="1:46" s="36" customFormat="1" ht="15.75" x14ac:dyDescent="0.25">
      <c r="A55" s="113" t="s">
        <v>593</v>
      </c>
      <c r="B55" s="114" t="s">
        <v>774</v>
      </c>
      <c r="C55" s="432" t="s">
        <v>70</v>
      </c>
      <c r="D55" s="87" t="s">
        <v>402</v>
      </c>
      <c r="E55" s="394" t="s">
        <v>890</v>
      </c>
      <c r="F55" s="114" t="s">
        <v>695</v>
      </c>
      <c r="G55" s="87" t="s">
        <v>46</v>
      </c>
      <c r="H55" s="329">
        <v>44519</v>
      </c>
      <c r="I55" s="432"/>
      <c r="J55" s="329" t="s">
        <v>370</v>
      </c>
      <c r="K55" s="87">
        <v>44489</v>
      </c>
      <c r="L55" s="329">
        <v>44489</v>
      </c>
      <c r="M55" s="298">
        <v>44540</v>
      </c>
      <c r="N55" s="329">
        <v>44540</v>
      </c>
      <c r="O55" s="346" t="e">
        <f t="shared" si="24"/>
        <v>#VALUE!</v>
      </c>
      <c r="P55" s="301">
        <f t="shared" si="25"/>
        <v>51</v>
      </c>
      <c r="Q55" s="346">
        <f t="shared" si="25"/>
        <v>51</v>
      </c>
      <c r="R55" s="87" t="s">
        <v>370</v>
      </c>
      <c r="S55" s="329">
        <v>44552</v>
      </c>
      <c r="T55" s="52">
        <v>44742</v>
      </c>
      <c r="U55" s="50">
        <v>9</v>
      </c>
      <c r="V55" s="50">
        <f t="shared" si="26"/>
        <v>6.3122923588039868</v>
      </c>
      <c r="W55" s="50"/>
      <c r="X55" s="52"/>
      <c r="Y55" s="50" t="s">
        <v>370</v>
      </c>
      <c r="Z55" s="182">
        <v>762952.96</v>
      </c>
      <c r="AA55" s="211">
        <v>92185.59</v>
      </c>
      <c r="AB55" s="211">
        <v>111281.22</v>
      </c>
      <c r="AC55" s="211">
        <v>64974.74</v>
      </c>
      <c r="AD55" s="211">
        <v>100946.93</v>
      </c>
      <c r="AE55" s="275">
        <v>100000</v>
      </c>
      <c r="AF55" s="275">
        <v>125000</v>
      </c>
      <c r="AG55" s="275">
        <v>100000</v>
      </c>
      <c r="AH55" s="275">
        <v>69511.41</v>
      </c>
      <c r="AI55" s="58"/>
      <c r="AJ55" s="58"/>
      <c r="AK55" s="58"/>
      <c r="AL55" s="58"/>
      <c r="AM55" s="58"/>
      <c r="AN55" s="53"/>
      <c r="AO55" s="47"/>
      <c r="AP55" s="53">
        <f t="shared" si="27"/>
        <v>763899.89</v>
      </c>
      <c r="AQ55" s="51"/>
      <c r="AR55" s="359">
        <f t="shared" si="10"/>
        <v>946.93000000005122</v>
      </c>
      <c r="AT55" s="55"/>
    </row>
    <row r="56" spans="1:46" s="36" customFormat="1" ht="15.75" x14ac:dyDescent="0.25">
      <c r="A56" s="111" t="s">
        <v>724</v>
      </c>
      <c r="B56" s="112" t="s">
        <v>654</v>
      </c>
      <c r="C56" s="422" t="s">
        <v>827</v>
      </c>
      <c r="D56" s="87" t="s">
        <v>873</v>
      </c>
      <c r="E56" s="432" t="s">
        <v>890</v>
      </c>
      <c r="F56" s="61"/>
      <c r="G56" s="87" t="s">
        <v>46</v>
      </c>
      <c r="H56" s="329">
        <v>44588</v>
      </c>
      <c r="I56" s="422"/>
      <c r="J56" s="329">
        <v>44574</v>
      </c>
      <c r="K56" s="87">
        <v>44543</v>
      </c>
      <c r="L56" s="329">
        <v>44575</v>
      </c>
      <c r="M56" s="87">
        <v>44578</v>
      </c>
      <c r="N56" s="486">
        <v>44615</v>
      </c>
      <c r="O56" s="493">
        <f t="shared" si="24"/>
        <v>41</v>
      </c>
      <c r="P56" s="50">
        <f t="shared" si="25"/>
        <v>35</v>
      </c>
      <c r="Q56" s="346">
        <f t="shared" si="25"/>
        <v>40</v>
      </c>
      <c r="R56" s="87" t="s">
        <v>370</v>
      </c>
      <c r="S56" s="329">
        <v>44620</v>
      </c>
      <c r="T56" s="87">
        <v>44820</v>
      </c>
      <c r="U56" s="50">
        <v>9.0000000000000497</v>
      </c>
      <c r="V56" s="50">
        <f t="shared" si="26"/>
        <v>6.6445182724252501</v>
      </c>
      <c r="W56" s="50"/>
      <c r="X56" s="52"/>
      <c r="Y56" s="50"/>
      <c r="Z56" s="53">
        <v>1500000</v>
      </c>
      <c r="AA56" s="211">
        <v>0</v>
      </c>
      <c r="AB56" s="211">
        <v>0</v>
      </c>
      <c r="AC56" s="211">
        <v>192361.11</v>
      </c>
      <c r="AD56" s="211">
        <v>27166.45</v>
      </c>
      <c r="AE56" s="275">
        <v>100000</v>
      </c>
      <c r="AF56" s="275">
        <v>150000</v>
      </c>
      <c r="AG56" s="275">
        <v>175000</v>
      </c>
      <c r="AH56" s="275">
        <v>175000</v>
      </c>
      <c r="AI56" s="275">
        <v>175000</v>
      </c>
      <c r="AJ56" s="275">
        <v>175000</v>
      </c>
      <c r="AK56" s="275">
        <v>175000</v>
      </c>
      <c r="AL56" s="275">
        <v>100000</v>
      </c>
      <c r="AM56" s="275">
        <v>32638.89</v>
      </c>
      <c r="AN56" s="53"/>
      <c r="AO56" s="47"/>
      <c r="AP56" s="53">
        <f t="shared" si="27"/>
        <v>1477166.45</v>
      </c>
      <c r="AQ56" s="51"/>
      <c r="AR56" s="359">
        <f t="shared" si="10"/>
        <v>-22833.550000000047</v>
      </c>
    </row>
    <row r="57" spans="1:46" s="36" customFormat="1" ht="15.75" x14ac:dyDescent="0.25">
      <c r="A57" s="374" t="s">
        <v>725</v>
      </c>
      <c r="B57" s="375" t="s">
        <v>927</v>
      </c>
      <c r="C57" s="52" t="s">
        <v>827</v>
      </c>
      <c r="D57" s="52" t="s">
        <v>873</v>
      </c>
      <c r="E57" s="422" t="s">
        <v>890</v>
      </c>
      <c r="F57" s="34"/>
      <c r="G57" s="52" t="s">
        <v>623</v>
      </c>
      <c r="H57" s="52">
        <v>44666</v>
      </c>
      <c r="I57" s="52"/>
      <c r="J57" s="329">
        <v>44574</v>
      </c>
      <c r="K57" s="87">
        <v>44575</v>
      </c>
      <c r="L57" s="329">
        <v>44610</v>
      </c>
      <c r="M57" s="87">
        <v>44620</v>
      </c>
      <c r="N57" s="329">
        <v>44636</v>
      </c>
      <c r="O57" s="346">
        <f t="shared" si="24"/>
        <v>62</v>
      </c>
      <c r="P57" s="50">
        <f t="shared" si="25"/>
        <v>45</v>
      </c>
      <c r="Q57" s="346">
        <f t="shared" si="25"/>
        <v>26</v>
      </c>
      <c r="R57" s="87" t="s">
        <v>370</v>
      </c>
      <c r="S57" s="376">
        <v>44690</v>
      </c>
      <c r="T57" s="276">
        <f>S57+(4*4.3*7)</f>
        <v>44810.400000000001</v>
      </c>
      <c r="U57" s="50">
        <v>4.0000000000000488</v>
      </c>
      <c r="V57" s="50">
        <f t="shared" si="26"/>
        <v>4.0000000000000488</v>
      </c>
      <c r="W57" s="50"/>
      <c r="X57" s="52"/>
      <c r="Y57" s="50"/>
      <c r="Z57" s="53">
        <v>350000</v>
      </c>
      <c r="AA57" s="211">
        <v>0</v>
      </c>
      <c r="AB57" s="211">
        <v>0</v>
      </c>
      <c r="AC57" s="211">
        <v>0</v>
      </c>
      <c r="AD57" s="211">
        <v>75975.429999999993</v>
      </c>
      <c r="AE57" s="275">
        <v>150000</v>
      </c>
      <c r="AF57" s="275">
        <v>50000</v>
      </c>
      <c r="AG57" s="58"/>
      <c r="AH57" s="58"/>
      <c r="AI57" s="58"/>
      <c r="AJ57" s="58"/>
      <c r="AK57" s="58"/>
      <c r="AL57" s="58"/>
      <c r="AM57" s="58"/>
      <c r="AN57" s="53"/>
      <c r="AO57" s="47"/>
      <c r="AP57" s="53">
        <f t="shared" si="27"/>
        <v>275975.43</v>
      </c>
      <c r="AQ57" s="51"/>
      <c r="AR57" s="359">
        <f t="shared" si="10"/>
        <v>-74024.570000000007</v>
      </c>
    </row>
    <row r="58" spans="1:46" s="36" customFormat="1" ht="15.75" x14ac:dyDescent="0.25">
      <c r="A58" s="374" t="s">
        <v>726</v>
      </c>
      <c r="B58" s="374" t="s">
        <v>897</v>
      </c>
      <c r="C58" s="52" t="s">
        <v>827</v>
      </c>
      <c r="D58" s="52" t="s">
        <v>873</v>
      </c>
      <c r="E58" s="422" t="s">
        <v>890</v>
      </c>
      <c r="F58" s="34"/>
      <c r="G58" s="52" t="s">
        <v>623</v>
      </c>
      <c r="H58" s="52">
        <v>44666</v>
      </c>
      <c r="I58" s="52"/>
      <c r="J58" s="329">
        <v>44574</v>
      </c>
      <c r="K58" s="87">
        <v>44575</v>
      </c>
      <c r="L58" s="329">
        <v>44610</v>
      </c>
      <c r="M58" s="87">
        <v>44620</v>
      </c>
      <c r="N58" s="329">
        <v>44636</v>
      </c>
      <c r="O58" s="346">
        <f t="shared" si="24"/>
        <v>62</v>
      </c>
      <c r="P58" s="50">
        <f t="shared" si="25"/>
        <v>45</v>
      </c>
      <c r="Q58" s="346">
        <f t="shared" si="25"/>
        <v>26</v>
      </c>
      <c r="R58" s="87" t="s">
        <v>370</v>
      </c>
      <c r="S58" s="376">
        <v>44690</v>
      </c>
      <c r="T58" s="276">
        <f>S58+(4*4.3*7)</f>
        <v>44810.400000000001</v>
      </c>
      <c r="U58" s="50">
        <v>4.0000000000000488</v>
      </c>
      <c r="V58" s="50">
        <f t="shared" si="26"/>
        <v>4.0000000000000488</v>
      </c>
      <c r="W58" s="50"/>
      <c r="X58" s="52"/>
      <c r="Y58" s="50"/>
      <c r="Z58" s="53">
        <v>450000</v>
      </c>
      <c r="AA58" s="211">
        <v>0</v>
      </c>
      <c r="AB58" s="211">
        <v>0</v>
      </c>
      <c r="AC58" s="211">
        <v>0</v>
      </c>
      <c r="AD58" s="211">
        <v>26192.880000000001</v>
      </c>
      <c r="AE58" s="275">
        <v>50000</v>
      </c>
      <c r="AF58" s="275">
        <v>75000</v>
      </c>
      <c r="AG58" s="275">
        <v>75000</v>
      </c>
      <c r="AH58" s="275">
        <v>75000</v>
      </c>
      <c r="AI58" s="275">
        <v>75000</v>
      </c>
      <c r="AJ58" s="275">
        <v>75000</v>
      </c>
      <c r="AK58" s="275">
        <v>25000</v>
      </c>
      <c r="AL58" s="58"/>
      <c r="AM58" s="58"/>
      <c r="AN58" s="53"/>
      <c r="AO58" s="47"/>
      <c r="AP58" s="53">
        <f t="shared" si="27"/>
        <v>476192.88</v>
      </c>
      <c r="AQ58" s="51"/>
      <c r="AR58" s="359">
        <f t="shared" si="10"/>
        <v>26192.880000000005</v>
      </c>
    </row>
    <row r="59" spans="1:46" s="36" customFormat="1" ht="15.75" x14ac:dyDescent="0.25">
      <c r="A59" s="443"/>
      <c r="B59" s="443"/>
      <c r="C59" s="465"/>
      <c r="D59" s="455"/>
      <c r="E59" s="468"/>
      <c r="F59" s="463"/>
      <c r="G59" s="445"/>
      <c r="H59" s="445"/>
      <c r="I59" s="465"/>
      <c r="J59" s="445"/>
      <c r="K59" s="445"/>
      <c r="L59" s="445"/>
      <c r="M59" s="445"/>
      <c r="N59" s="445"/>
      <c r="O59" s="447"/>
      <c r="P59" s="445"/>
      <c r="Q59" s="447"/>
      <c r="R59" s="445"/>
      <c r="S59" s="445"/>
      <c r="T59" s="445"/>
      <c r="U59" s="447"/>
      <c r="V59" s="445"/>
      <c r="W59" s="447"/>
      <c r="X59" s="445"/>
      <c r="Y59" s="447"/>
      <c r="Z59" s="448">
        <f t="shared" ref="Z59:AN59" si="28">SUBTOTAL(9,Z53:Z58)</f>
        <v>7523968.79</v>
      </c>
      <c r="AA59" s="243">
        <f t="shared" si="28"/>
        <v>1044609.3200000001</v>
      </c>
      <c r="AB59" s="243">
        <f t="shared" si="28"/>
        <v>284554.82999999996</v>
      </c>
      <c r="AC59" s="243">
        <f t="shared" si="28"/>
        <v>350575.02999999997</v>
      </c>
      <c r="AD59" s="448">
        <f t="shared" si="28"/>
        <v>345385.44</v>
      </c>
      <c r="AE59" s="448">
        <f t="shared" si="28"/>
        <v>750000</v>
      </c>
      <c r="AF59" s="448">
        <f t="shared" si="28"/>
        <v>825000</v>
      </c>
      <c r="AG59" s="448">
        <f t="shared" si="28"/>
        <v>617079.31000000006</v>
      </c>
      <c r="AH59" s="448">
        <f t="shared" si="28"/>
        <v>519511.41000000003</v>
      </c>
      <c r="AI59" s="448">
        <f t="shared" si="28"/>
        <v>450000</v>
      </c>
      <c r="AJ59" s="448">
        <f t="shared" si="28"/>
        <v>450000</v>
      </c>
      <c r="AK59" s="448">
        <f t="shared" si="28"/>
        <v>400000</v>
      </c>
      <c r="AL59" s="448">
        <f t="shared" si="28"/>
        <v>300000</v>
      </c>
      <c r="AM59" s="448">
        <f t="shared" si="28"/>
        <v>232638.89</v>
      </c>
      <c r="AN59" s="448">
        <f t="shared" si="28"/>
        <v>700000</v>
      </c>
      <c r="AO59" s="449"/>
      <c r="AP59" s="448">
        <f>SUBTOTAL(9,AP53:AP58)</f>
        <v>7269354.2299999995</v>
      </c>
      <c r="AQ59" s="450"/>
      <c r="AR59" s="451">
        <f t="shared" si="10"/>
        <v>-254614.56000000052</v>
      </c>
      <c r="AS59" s="452"/>
      <c r="AT59" s="453"/>
    </row>
    <row r="60" spans="1:46" s="36" customFormat="1" ht="15.75" x14ac:dyDescent="0.25">
      <c r="A60" s="381" t="s">
        <v>517</v>
      </c>
      <c r="B60" s="106"/>
      <c r="C60" s="101"/>
      <c r="D60" s="102"/>
      <c r="E60" s="420"/>
      <c r="F60" s="106"/>
      <c r="G60" s="102"/>
      <c r="H60" s="102"/>
      <c r="I60" s="101"/>
      <c r="J60" s="102"/>
      <c r="K60" s="102"/>
      <c r="L60" s="276"/>
      <c r="M60" s="276"/>
      <c r="N60" s="276"/>
      <c r="O60" s="84"/>
      <c r="P60" s="276"/>
      <c r="Q60" s="84"/>
      <c r="R60" s="102"/>
      <c r="S60" s="102"/>
      <c r="T60" s="102"/>
      <c r="U60" s="84"/>
      <c r="V60" s="102"/>
      <c r="W60" s="102"/>
      <c r="X60" s="276"/>
      <c r="Y60" s="102"/>
      <c r="Z60" s="102"/>
      <c r="AA60" s="495"/>
      <c r="AB60" s="495"/>
      <c r="AC60" s="495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47"/>
      <c r="AP60" s="103"/>
      <c r="AQ60" s="51"/>
      <c r="AR60" s="359">
        <f t="shared" si="10"/>
        <v>0</v>
      </c>
    </row>
    <row r="61" spans="1:46" s="36" customFormat="1" ht="15.75" x14ac:dyDescent="0.25">
      <c r="A61" s="113" t="s">
        <v>194</v>
      </c>
      <c r="B61" s="113" t="s">
        <v>609</v>
      </c>
      <c r="C61" s="52" t="s">
        <v>821</v>
      </c>
      <c r="D61" s="52" t="s">
        <v>45</v>
      </c>
      <c r="E61" s="52" t="s">
        <v>890</v>
      </c>
      <c r="F61" s="34" t="s">
        <v>196</v>
      </c>
      <c r="G61" s="52" t="s">
        <v>623</v>
      </c>
      <c r="H61" s="52" t="s">
        <v>320</v>
      </c>
      <c r="I61" s="52"/>
      <c r="J61" s="329">
        <v>44641</v>
      </c>
      <c r="K61" s="87">
        <v>44597</v>
      </c>
      <c r="L61" s="298">
        <v>44692</v>
      </c>
      <c r="M61" s="298">
        <v>44667</v>
      </c>
      <c r="N61" s="87">
        <f>L61+60</f>
        <v>44752</v>
      </c>
      <c r="O61" s="88">
        <f>N61-J61</f>
        <v>111</v>
      </c>
      <c r="P61" s="50">
        <f>M61-K61</f>
        <v>70</v>
      </c>
      <c r="Q61" s="50">
        <f>N61-L61</f>
        <v>60</v>
      </c>
      <c r="R61" s="52" t="s">
        <v>320</v>
      </c>
      <c r="S61" s="87">
        <v>44716</v>
      </c>
      <c r="T61" s="52">
        <f>S61+(9*4.3*7)</f>
        <v>44986.9</v>
      </c>
      <c r="U61" s="50">
        <v>9.0000000000000497</v>
      </c>
      <c r="V61" s="50">
        <f>((T61-S61)/7)/4.3</f>
        <v>9.0000000000000497</v>
      </c>
      <c r="W61" s="50"/>
      <c r="X61" s="52"/>
      <c r="Y61" s="50"/>
      <c r="Z61" s="53">
        <v>2200000</v>
      </c>
      <c r="AA61" s="211">
        <v>0</v>
      </c>
      <c r="AB61" s="211">
        <v>0</v>
      </c>
      <c r="AC61" s="211">
        <v>0</v>
      </c>
      <c r="AD61" s="211">
        <v>147115.94</v>
      </c>
      <c r="AE61" s="275">
        <v>200000</v>
      </c>
      <c r="AF61" s="275">
        <v>260000</v>
      </c>
      <c r="AG61" s="275">
        <v>260000</v>
      </c>
      <c r="AH61" s="275">
        <v>300000</v>
      </c>
      <c r="AI61" s="275">
        <v>300000</v>
      </c>
      <c r="AJ61" s="275">
        <v>260000</v>
      </c>
      <c r="AK61" s="275">
        <v>260000</v>
      </c>
      <c r="AL61" s="275">
        <v>210000</v>
      </c>
      <c r="AM61" s="58"/>
      <c r="AN61" s="58"/>
      <c r="AO61" s="47"/>
      <c r="AP61" s="53">
        <f>SUM(AA61:AO61)</f>
        <v>2197115.94</v>
      </c>
      <c r="AQ61" s="51"/>
      <c r="AR61" s="359">
        <f>AP61-Z61</f>
        <v>-2884.0600000000559</v>
      </c>
    </row>
    <row r="62" spans="1:46" s="36" customFormat="1" ht="15.75" x14ac:dyDescent="0.25">
      <c r="A62" s="319" t="s">
        <v>544</v>
      </c>
      <c r="B62" s="320" t="s">
        <v>670</v>
      </c>
      <c r="C62" s="428" t="s">
        <v>236</v>
      </c>
      <c r="D62" s="321" t="s">
        <v>708</v>
      </c>
      <c r="E62" s="428" t="s">
        <v>24</v>
      </c>
      <c r="F62" s="320" t="s">
        <v>742</v>
      </c>
      <c r="G62" s="321" t="s">
        <v>46</v>
      </c>
      <c r="H62" s="332">
        <v>44454</v>
      </c>
      <c r="I62" s="428"/>
      <c r="J62" s="332" t="s">
        <v>370</v>
      </c>
      <c r="K62" s="339">
        <v>44440</v>
      </c>
      <c r="L62" s="332">
        <v>44440</v>
      </c>
      <c r="M62" s="339">
        <v>44455</v>
      </c>
      <c r="N62" s="332">
        <v>44455</v>
      </c>
      <c r="O62" s="343" t="e">
        <f>N62-J62</f>
        <v>#VALUE!</v>
      </c>
      <c r="P62" s="371">
        <f>M62-K62</f>
        <v>15</v>
      </c>
      <c r="Q62" s="343">
        <f>N62-L62</f>
        <v>15</v>
      </c>
      <c r="R62" s="321"/>
      <c r="S62" s="332">
        <v>44461</v>
      </c>
      <c r="T62" s="332">
        <v>44486</v>
      </c>
      <c r="U62" s="343">
        <v>1</v>
      </c>
      <c r="V62" s="322">
        <f>((T62-S62)/7)/4.3</f>
        <v>0.83056478405315626</v>
      </c>
      <c r="W62" s="322"/>
      <c r="X62" s="321"/>
      <c r="Y62" s="322" t="s">
        <v>370</v>
      </c>
      <c r="Z62" s="323">
        <v>27626.400000000001</v>
      </c>
      <c r="AA62" s="211">
        <v>11493</v>
      </c>
      <c r="AB62" s="211">
        <v>16133.4</v>
      </c>
      <c r="AC62" s="211">
        <v>0</v>
      </c>
      <c r="AD62" s="211">
        <v>0</v>
      </c>
      <c r="AE62" s="58"/>
      <c r="AF62" s="58"/>
      <c r="AG62" s="58"/>
      <c r="AH62" s="58"/>
      <c r="AI62" s="58"/>
      <c r="AJ62" s="58"/>
      <c r="AK62" s="58"/>
      <c r="AL62" s="58"/>
      <c r="AM62" s="58"/>
      <c r="AN62" s="53"/>
      <c r="AO62" s="47"/>
      <c r="AP62" s="53">
        <f>SUM(AA62:AO62)</f>
        <v>27626.400000000001</v>
      </c>
      <c r="AQ62" s="51"/>
      <c r="AR62" s="359">
        <f>AP62-Z62</f>
        <v>0</v>
      </c>
      <c r="AT62" s="55"/>
    </row>
    <row r="63" spans="1:46" s="489" customFormat="1" ht="15.75" x14ac:dyDescent="0.25">
      <c r="A63" s="111" t="s">
        <v>208</v>
      </c>
      <c r="B63" s="112" t="s">
        <v>480</v>
      </c>
      <c r="C63" s="423" t="s">
        <v>823</v>
      </c>
      <c r="D63" s="87" t="s">
        <v>402</v>
      </c>
      <c r="E63" s="434" t="s">
        <v>890</v>
      </c>
      <c r="F63" s="61" t="s">
        <v>694</v>
      </c>
      <c r="G63" s="87" t="s">
        <v>46</v>
      </c>
      <c r="H63" s="329">
        <v>44575</v>
      </c>
      <c r="I63" s="423"/>
      <c r="J63" s="329" t="s">
        <v>370</v>
      </c>
      <c r="K63" s="87">
        <v>44519</v>
      </c>
      <c r="L63" s="329">
        <v>44519</v>
      </c>
      <c r="M63" s="298">
        <v>44567</v>
      </c>
      <c r="N63" s="329">
        <v>44606</v>
      </c>
      <c r="O63" s="346" t="e">
        <f t="shared" ref="O63:O76" si="29">N63-J63</f>
        <v>#VALUE!</v>
      </c>
      <c r="P63" s="50">
        <f t="shared" ref="P63:Q76" si="30">M63-K63</f>
        <v>48</v>
      </c>
      <c r="Q63" s="346">
        <f t="shared" si="30"/>
        <v>87</v>
      </c>
      <c r="R63" s="87" t="s">
        <v>370</v>
      </c>
      <c r="S63" s="329">
        <v>44613</v>
      </c>
      <c r="T63" s="87">
        <v>44895</v>
      </c>
      <c r="U63" s="50">
        <v>9.0000000000000497</v>
      </c>
      <c r="V63" s="88">
        <f t="shared" ref="V63:V76" si="31">((T63-S63)/7)/4.3</f>
        <v>9.368770764119601</v>
      </c>
      <c r="W63" s="88"/>
      <c r="X63" s="87"/>
      <c r="Y63" s="88"/>
      <c r="Z63" s="58">
        <v>2200000</v>
      </c>
      <c r="AA63" s="211">
        <v>0</v>
      </c>
      <c r="AB63" s="211">
        <v>0</v>
      </c>
      <c r="AC63" s="211">
        <v>212179</v>
      </c>
      <c r="AD63" s="211">
        <v>291481.13999999996</v>
      </c>
      <c r="AE63" s="275">
        <v>250000</v>
      </c>
      <c r="AF63" s="275">
        <v>275000</v>
      </c>
      <c r="AG63" s="275">
        <v>300000</v>
      </c>
      <c r="AH63" s="275">
        <v>250000</v>
      </c>
      <c r="AI63" s="275">
        <v>250000</v>
      </c>
      <c r="AJ63" s="275">
        <v>250000</v>
      </c>
      <c r="AK63" s="275">
        <v>187821</v>
      </c>
      <c r="AL63" s="58"/>
      <c r="AM63" s="58"/>
      <c r="AN63" s="58"/>
      <c r="AO63" s="47"/>
      <c r="AP63" s="58">
        <f t="shared" ref="AP63:AP68" si="32">SUM(AA63:AO63)</f>
        <v>2266481.1399999997</v>
      </c>
      <c r="AQ63" s="51"/>
      <c r="AR63" s="359">
        <f t="shared" si="10"/>
        <v>66481.139999999665</v>
      </c>
    </row>
    <row r="64" spans="1:46" s="489" customFormat="1" ht="15.75" x14ac:dyDescent="0.25">
      <c r="A64" s="111" t="s">
        <v>727</v>
      </c>
      <c r="B64" s="112" t="s">
        <v>653</v>
      </c>
      <c r="C64" s="423" t="s">
        <v>828</v>
      </c>
      <c r="D64" s="87" t="s">
        <v>633</v>
      </c>
      <c r="E64" s="434" t="s">
        <v>893</v>
      </c>
      <c r="F64" s="61"/>
      <c r="G64" s="87" t="s">
        <v>46</v>
      </c>
      <c r="H64" s="329">
        <v>44588</v>
      </c>
      <c r="I64" s="423"/>
      <c r="J64" s="329">
        <v>44575</v>
      </c>
      <c r="K64" s="87">
        <v>44543</v>
      </c>
      <c r="L64" s="329">
        <v>44575</v>
      </c>
      <c r="M64" s="298">
        <v>44574</v>
      </c>
      <c r="N64" s="329">
        <v>44582</v>
      </c>
      <c r="O64" s="346">
        <f t="shared" si="29"/>
        <v>7</v>
      </c>
      <c r="P64" s="50">
        <f t="shared" si="30"/>
        <v>31</v>
      </c>
      <c r="Q64" s="346">
        <f t="shared" si="30"/>
        <v>7</v>
      </c>
      <c r="R64" s="87" t="s">
        <v>370</v>
      </c>
      <c r="S64" s="329">
        <v>44606</v>
      </c>
      <c r="T64" s="87">
        <v>44792</v>
      </c>
      <c r="U64" s="50">
        <v>8.0000000000000977</v>
      </c>
      <c r="V64" s="88">
        <f t="shared" si="31"/>
        <v>6.1794019933554827</v>
      </c>
      <c r="W64" s="88"/>
      <c r="X64" s="87"/>
      <c r="Y64" s="88"/>
      <c r="Z64" s="58">
        <v>1200000</v>
      </c>
      <c r="AA64" s="211">
        <v>0</v>
      </c>
      <c r="AB64" s="211">
        <v>0</v>
      </c>
      <c r="AC64" s="211">
        <v>240339.47999999998</v>
      </c>
      <c r="AD64" s="211">
        <v>284536.77</v>
      </c>
      <c r="AE64" s="275">
        <v>150000</v>
      </c>
      <c r="AF64" s="275">
        <v>150000</v>
      </c>
      <c r="AG64" s="275">
        <v>200000</v>
      </c>
      <c r="AH64" s="275">
        <v>200000</v>
      </c>
      <c r="AI64" s="275">
        <v>100000</v>
      </c>
      <c r="AJ64" s="275">
        <v>84660.52</v>
      </c>
      <c r="AK64" s="58"/>
      <c r="AL64" s="58"/>
      <c r="AM64" s="58"/>
      <c r="AN64" s="58"/>
      <c r="AO64" s="47"/>
      <c r="AP64" s="58">
        <f t="shared" si="32"/>
        <v>1409536.77</v>
      </c>
      <c r="AQ64" s="51"/>
      <c r="AR64" s="359">
        <f t="shared" si="10"/>
        <v>209536.77000000002</v>
      </c>
    </row>
    <row r="65" spans="1:46" s="36" customFormat="1" ht="15.75" x14ac:dyDescent="0.25">
      <c r="A65" s="374" t="s">
        <v>729</v>
      </c>
      <c r="B65" s="374" t="s">
        <v>730</v>
      </c>
      <c r="C65" s="422" t="s">
        <v>828</v>
      </c>
      <c r="D65" s="52" t="s">
        <v>633</v>
      </c>
      <c r="E65" s="422" t="s">
        <v>893</v>
      </c>
      <c r="F65" s="35"/>
      <c r="G65" s="87" t="s">
        <v>46</v>
      </c>
      <c r="H65" s="52" t="s">
        <v>320</v>
      </c>
      <c r="I65" s="422"/>
      <c r="J65" s="329">
        <v>44575</v>
      </c>
      <c r="K65" s="87">
        <v>44560</v>
      </c>
      <c r="L65" s="329">
        <v>44608</v>
      </c>
      <c r="M65" s="87">
        <v>44636</v>
      </c>
      <c r="N65" s="486">
        <v>44643</v>
      </c>
      <c r="O65" s="88">
        <f t="shared" si="29"/>
        <v>68</v>
      </c>
      <c r="P65" s="50">
        <f t="shared" si="30"/>
        <v>76</v>
      </c>
      <c r="Q65" s="50">
        <f t="shared" si="30"/>
        <v>35</v>
      </c>
      <c r="R65" s="52" t="s">
        <v>370</v>
      </c>
      <c r="S65" s="376">
        <f>N65+29</f>
        <v>44672</v>
      </c>
      <c r="T65" s="276">
        <f>S65+(4*4.3*7)</f>
        <v>44792.4</v>
      </c>
      <c r="U65" s="50">
        <v>4.0000000000000488</v>
      </c>
      <c r="V65" s="50">
        <f t="shared" si="31"/>
        <v>4.0000000000000488</v>
      </c>
      <c r="W65" s="50"/>
      <c r="X65" s="52"/>
      <c r="Y65" s="50"/>
      <c r="Z65" s="53">
        <v>350000</v>
      </c>
      <c r="AA65" s="211">
        <v>0</v>
      </c>
      <c r="AB65" s="211">
        <v>0</v>
      </c>
      <c r="AC65" s="211">
        <v>0</v>
      </c>
      <c r="AD65" s="211">
        <v>0</v>
      </c>
      <c r="AE65" s="275">
        <v>75000</v>
      </c>
      <c r="AF65" s="275">
        <v>100000</v>
      </c>
      <c r="AG65" s="275">
        <v>100000</v>
      </c>
      <c r="AH65" s="275">
        <v>25000</v>
      </c>
      <c r="AI65" s="58"/>
      <c r="AJ65" s="58"/>
      <c r="AK65" s="58"/>
      <c r="AL65" s="58"/>
      <c r="AM65" s="58"/>
      <c r="AN65" s="53"/>
      <c r="AO65" s="47"/>
      <c r="AP65" s="53">
        <f t="shared" si="32"/>
        <v>300000</v>
      </c>
      <c r="AQ65" s="51"/>
      <c r="AR65" s="359">
        <f t="shared" si="10"/>
        <v>-50000</v>
      </c>
      <c r="AT65" s="55"/>
    </row>
    <row r="66" spans="1:46" s="489" customFormat="1" ht="15.75" x14ac:dyDescent="0.25">
      <c r="A66" s="113" t="s">
        <v>150</v>
      </c>
      <c r="B66" s="113" t="s">
        <v>151</v>
      </c>
      <c r="C66" s="426" t="s">
        <v>820</v>
      </c>
      <c r="D66" s="87" t="s">
        <v>704</v>
      </c>
      <c r="E66" s="435" t="s">
        <v>892</v>
      </c>
      <c r="F66" s="389" t="s">
        <v>709</v>
      </c>
      <c r="G66" s="87" t="s">
        <v>46</v>
      </c>
      <c r="H66" s="329">
        <v>44783</v>
      </c>
      <c r="I66" s="426"/>
      <c r="J66" s="329" t="s">
        <v>370</v>
      </c>
      <c r="K66" s="87">
        <v>44369</v>
      </c>
      <c r="L66" s="329">
        <v>44369</v>
      </c>
      <c r="M66" s="298">
        <v>44509</v>
      </c>
      <c r="N66" s="329">
        <v>44509</v>
      </c>
      <c r="O66" s="346" t="e">
        <f t="shared" si="29"/>
        <v>#VALUE!</v>
      </c>
      <c r="P66" s="344">
        <f t="shared" si="30"/>
        <v>140</v>
      </c>
      <c r="Q66" s="346">
        <f t="shared" si="30"/>
        <v>140</v>
      </c>
      <c r="R66" s="87" t="s">
        <v>370</v>
      </c>
      <c r="S66" s="329">
        <v>44517</v>
      </c>
      <c r="T66" s="87">
        <v>44713</v>
      </c>
      <c r="U66" s="50">
        <v>7</v>
      </c>
      <c r="V66" s="88">
        <f t="shared" si="31"/>
        <v>6.5116279069767442</v>
      </c>
      <c r="W66" s="88"/>
      <c r="X66" s="87"/>
      <c r="Y66" s="88" t="s">
        <v>370</v>
      </c>
      <c r="Z66" s="181">
        <v>1910049.56</v>
      </c>
      <c r="AA66" s="211">
        <v>892016.83</v>
      </c>
      <c r="AB66" s="211">
        <v>304883.09000000003</v>
      </c>
      <c r="AC66" s="211">
        <v>284226.25</v>
      </c>
      <c r="AD66" s="211">
        <v>241178.58000000002</v>
      </c>
      <c r="AE66" s="275">
        <v>128923.39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47"/>
      <c r="AP66" s="58">
        <f t="shared" si="32"/>
        <v>1851228.14</v>
      </c>
      <c r="AQ66" s="51"/>
      <c r="AR66" s="359">
        <f t="shared" si="10"/>
        <v>-58821.420000000158</v>
      </c>
    </row>
    <row r="67" spans="1:46" s="489" customFormat="1" ht="15.75" x14ac:dyDescent="0.25">
      <c r="A67" s="113" t="s">
        <v>153</v>
      </c>
      <c r="B67" s="113" t="s">
        <v>424</v>
      </c>
      <c r="C67" s="394" t="s">
        <v>820</v>
      </c>
      <c r="D67" s="406" t="s">
        <v>704</v>
      </c>
      <c r="E67" s="406" t="s">
        <v>892</v>
      </c>
      <c r="F67" s="407" t="s">
        <v>710</v>
      </c>
      <c r="G67" s="87" t="s">
        <v>46</v>
      </c>
      <c r="H67" s="329">
        <v>44783</v>
      </c>
      <c r="I67" s="394"/>
      <c r="J67" s="329" t="s">
        <v>370</v>
      </c>
      <c r="K67" s="87">
        <v>44551</v>
      </c>
      <c r="L67" s="329">
        <v>44543</v>
      </c>
      <c r="M67" s="298">
        <v>44588</v>
      </c>
      <c r="N67" s="329">
        <v>44585</v>
      </c>
      <c r="O67" s="346" t="e">
        <f t="shared" si="29"/>
        <v>#VALUE!</v>
      </c>
      <c r="P67" s="344">
        <f t="shared" si="30"/>
        <v>37</v>
      </c>
      <c r="Q67" s="346">
        <f t="shared" si="30"/>
        <v>42</v>
      </c>
      <c r="R67" s="87" t="s">
        <v>370</v>
      </c>
      <c r="S67" s="329">
        <v>44599</v>
      </c>
      <c r="T67" s="87">
        <f>S67+145</f>
        <v>44744</v>
      </c>
      <c r="U67" s="50">
        <v>3</v>
      </c>
      <c r="V67" s="88">
        <f t="shared" si="31"/>
        <v>4.8172757475083063</v>
      </c>
      <c r="W67" s="88"/>
      <c r="X67" s="87"/>
      <c r="Y67" s="88" t="s">
        <v>370</v>
      </c>
      <c r="Z67" s="181">
        <v>288979.20000000001</v>
      </c>
      <c r="AA67" s="211">
        <v>17537.689999999999</v>
      </c>
      <c r="AB67" s="211">
        <v>0</v>
      </c>
      <c r="AC67" s="211">
        <v>0</v>
      </c>
      <c r="AD67" s="211">
        <v>171149.96000000002</v>
      </c>
      <c r="AE67" s="275">
        <v>95000</v>
      </c>
      <c r="AF67" s="275">
        <v>76441.509999999995</v>
      </c>
      <c r="AG67" s="58"/>
      <c r="AH67" s="58"/>
      <c r="AI67" s="58"/>
      <c r="AJ67" s="58"/>
      <c r="AK67" s="58"/>
      <c r="AL67" s="58"/>
      <c r="AM67" s="58"/>
      <c r="AN67" s="58"/>
      <c r="AO67" s="47"/>
      <c r="AP67" s="58">
        <f t="shared" si="32"/>
        <v>360129.16000000003</v>
      </c>
      <c r="AQ67" s="51"/>
      <c r="AR67" s="359">
        <f t="shared" si="10"/>
        <v>71149.960000000021</v>
      </c>
      <c r="AT67" s="218"/>
    </row>
    <row r="68" spans="1:46" s="489" customFormat="1" ht="15.75" x14ac:dyDescent="0.25">
      <c r="A68" s="113" t="s">
        <v>155</v>
      </c>
      <c r="B68" s="114" t="s">
        <v>426</v>
      </c>
      <c r="C68" s="423" t="s">
        <v>820</v>
      </c>
      <c r="D68" s="87" t="s">
        <v>704</v>
      </c>
      <c r="E68" s="406" t="s">
        <v>892</v>
      </c>
      <c r="F68" s="65" t="s">
        <v>711</v>
      </c>
      <c r="G68" s="87" t="s">
        <v>46</v>
      </c>
      <c r="H68" s="329">
        <v>44783</v>
      </c>
      <c r="I68" s="423"/>
      <c r="J68" s="329" t="s">
        <v>370</v>
      </c>
      <c r="K68" s="87">
        <v>44551</v>
      </c>
      <c r="L68" s="329">
        <v>44559</v>
      </c>
      <c r="M68" s="298">
        <v>44596</v>
      </c>
      <c r="N68" s="329">
        <v>44585</v>
      </c>
      <c r="O68" s="346" t="e">
        <f t="shared" si="29"/>
        <v>#VALUE!</v>
      </c>
      <c r="P68" s="344">
        <f t="shared" si="30"/>
        <v>45</v>
      </c>
      <c r="Q68" s="346">
        <f t="shared" si="30"/>
        <v>26</v>
      </c>
      <c r="R68" s="87" t="s">
        <v>370</v>
      </c>
      <c r="S68" s="329">
        <v>44599</v>
      </c>
      <c r="T68" s="87">
        <f>S68+145</f>
        <v>44744</v>
      </c>
      <c r="U68" s="50">
        <v>3</v>
      </c>
      <c r="V68" s="88">
        <f t="shared" si="31"/>
        <v>4.8172757475083063</v>
      </c>
      <c r="W68" s="88"/>
      <c r="X68" s="87"/>
      <c r="Y68" s="88" t="s">
        <v>370</v>
      </c>
      <c r="Z68" s="181">
        <v>376822.32</v>
      </c>
      <c r="AA68" s="211">
        <v>20124</v>
      </c>
      <c r="AB68" s="211">
        <v>0</v>
      </c>
      <c r="AC68" s="211">
        <v>0</v>
      </c>
      <c r="AD68" s="211">
        <v>203849.39</v>
      </c>
      <c r="AE68" s="275">
        <v>100000</v>
      </c>
      <c r="AF68" s="275">
        <v>100000</v>
      </c>
      <c r="AG68" s="275">
        <v>31698.32</v>
      </c>
      <c r="AH68" s="58"/>
      <c r="AI68" s="58"/>
      <c r="AJ68" s="58"/>
      <c r="AK68" s="58"/>
      <c r="AL68" s="58"/>
      <c r="AM68" s="58"/>
      <c r="AN68" s="58"/>
      <c r="AO68" s="47"/>
      <c r="AP68" s="58">
        <f t="shared" si="32"/>
        <v>455671.71</v>
      </c>
      <c r="AQ68" s="51"/>
      <c r="AR68" s="359">
        <f t="shared" si="10"/>
        <v>78849.390000000014</v>
      </c>
    </row>
    <row r="69" spans="1:46" s="36" customFormat="1" ht="15.75" x14ac:dyDescent="0.25">
      <c r="A69" s="374" t="s">
        <v>143</v>
      </c>
      <c r="B69" s="375" t="s">
        <v>145</v>
      </c>
      <c r="C69" s="434" t="s">
        <v>835</v>
      </c>
      <c r="D69" s="52" t="s">
        <v>704</v>
      </c>
      <c r="E69" s="422" t="s">
        <v>892</v>
      </c>
      <c r="F69" s="272" t="s">
        <v>146</v>
      </c>
      <c r="G69" s="52" t="s">
        <v>623</v>
      </c>
      <c r="H69" s="52" t="s">
        <v>320</v>
      </c>
      <c r="I69" s="434"/>
      <c r="J69" s="330" t="s">
        <v>370</v>
      </c>
      <c r="K69" s="52">
        <v>44470</v>
      </c>
      <c r="L69" s="87">
        <v>44470</v>
      </c>
      <c r="M69" s="87">
        <v>44575</v>
      </c>
      <c r="N69" s="87">
        <f>L69+233</f>
        <v>44703</v>
      </c>
      <c r="O69" s="88" t="e">
        <f t="shared" si="29"/>
        <v>#VALUE!</v>
      </c>
      <c r="P69" s="50">
        <f t="shared" si="30"/>
        <v>105</v>
      </c>
      <c r="Q69" s="50">
        <f t="shared" si="30"/>
        <v>233</v>
      </c>
      <c r="R69" s="52" t="s">
        <v>320</v>
      </c>
      <c r="S69" s="376">
        <v>44713</v>
      </c>
      <c r="T69" s="52">
        <f>S69+(9*4.3*7)</f>
        <v>44983.9</v>
      </c>
      <c r="U69" s="88">
        <v>9.0000000000000497</v>
      </c>
      <c r="V69" s="50">
        <f t="shared" si="31"/>
        <v>9.0000000000000497</v>
      </c>
      <c r="W69" s="50"/>
      <c r="X69" s="87"/>
      <c r="Y69" s="88"/>
      <c r="Z69" s="58">
        <v>600000</v>
      </c>
      <c r="AA69" s="211">
        <v>0</v>
      </c>
      <c r="AB69" s="211">
        <v>0</v>
      </c>
      <c r="AC69" s="211">
        <v>0</v>
      </c>
      <c r="AD69" s="211">
        <v>63350.47</v>
      </c>
      <c r="AE69" s="275">
        <v>80000</v>
      </c>
      <c r="AF69" s="275">
        <v>80000</v>
      </c>
      <c r="AG69" s="275">
        <v>80000</v>
      </c>
      <c r="AH69" s="275">
        <v>80000</v>
      </c>
      <c r="AI69" s="275">
        <v>80000</v>
      </c>
      <c r="AJ69" s="275">
        <v>80000</v>
      </c>
      <c r="AK69" s="275">
        <f>45000+75000</f>
        <v>120000</v>
      </c>
      <c r="AL69" s="58"/>
      <c r="AM69" s="58"/>
      <c r="AN69" s="53"/>
      <c r="AO69" s="47"/>
      <c r="AP69" s="53">
        <f t="shared" ref="AP69:AP76" si="33">SUM(AA69:AO69)</f>
        <v>663350.47</v>
      </c>
      <c r="AQ69" s="51"/>
      <c r="AR69" s="359">
        <f t="shared" si="10"/>
        <v>63350.469999999972</v>
      </c>
    </row>
    <row r="70" spans="1:46" s="489" customFormat="1" ht="15.75" x14ac:dyDescent="0.25">
      <c r="A70" s="111" t="s">
        <v>795</v>
      </c>
      <c r="B70" s="112" t="s">
        <v>804</v>
      </c>
      <c r="C70" s="422" t="s">
        <v>820</v>
      </c>
      <c r="D70" s="87" t="s">
        <v>704</v>
      </c>
      <c r="E70" s="422" t="s">
        <v>892</v>
      </c>
      <c r="F70" s="65" t="s">
        <v>711</v>
      </c>
      <c r="G70" s="87" t="s">
        <v>46</v>
      </c>
      <c r="H70" s="329" t="s">
        <v>24</v>
      </c>
      <c r="I70" s="422"/>
      <c r="J70" s="329" t="s">
        <v>370</v>
      </c>
      <c r="K70" s="329" t="s">
        <v>24</v>
      </c>
      <c r="L70" s="329" t="s">
        <v>24</v>
      </c>
      <c r="M70" s="329" t="s">
        <v>24</v>
      </c>
      <c r="N70" s="329" t="s">
        <v>24</v>
      </c>
      <c r="O70" s="346" t="s">
        <v>24</v>
      </c>
      <c r="P70" s="329" t="s">
        <v>24</v>
      </c>
      <c r="Q70" s="329" t="s">
        <v>24</v>
      </c>
      <c r="R70" s="329" t="s">
        <v>24</v>
      </c>
      <c r="S70" s="329" t="s">
        <v>24</v>
      </c>
      <c r="T70" s="346" t="s">
        <v>24</v>
      </c>
      <c r="U70" s="333" t="s">
        <v>24</v>
      </c>
      <c r="V70" s="346" t="s">
        <v>24</v>
      </c>
      <c r="W70" s="346" t="s">
        <v>24</v>
      </c>
      <c r="X70" s="329" t="s">
        <v>24</v>
      </c>
      <c r="Y70" s="346" t="s">
        <v>24</v>
      </c>
      <c r="Z70" s="181"/>
      <c r="AA70" s="211">
        <v>0</v>
      </c>
      <c r="AB70" s="211">
        <v>0</v>
      </c>
      <c r="AC70" s="211">
        <v>0</v>
      </c>
      <c r="AD70" s="211">
        <v>0</v>
      </c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47"/>
      <c r="AP70" s="58">
        <f>SUM(AA70:AO70)</f>
        <v>0</v>
      </c>
      <c r="AQ70" s="51"/>
      <c r="AR70" s="359">
        <f>AP70-Z70</f>
        <v>0</v>
      </c>
    </row>
    <row r="71" spans="1:46" s="36" customFormat="1" ht="15.75" x14ac:dyDescent="0.25">
      <c r="A71" s="374" t="s">
        <v>394</v>
      </c>
      <c r="B71" s="375" t="s">
        <v>763</v>
      </c>
      <c r="C71" s="87" t="s">
        <v>836</v>
      </c>
      <c r="D71" s="52" t="s">
        <v>704</v>
      </c>
      <c r="E71" s="422" t="s">
        <v>892</v>
      </c>
      <c r="F71" s="57" t="s">
        <v>149</v>
      </c>
      <c r="G71" s="52" t="s">
        <v>623</v>
      </c>
      <c r="H71" s="52" t="s">
        <v>320</v>
      </c>
      <c r="I71" s="87"/>
      <c r="J71" s="330" t="s">
        <v>370</v>
      </c>
      <c r="K71" s="52">
        <v>44491</v>
      </c>
      <c r="L71" s="87">
        <v>44470</v>
      </c>
      <c r="M71" s="87">
        <v>44703</v>
      </c>
      <c r="N71" s="87">
        <f>L71+233</f>
        <v>44703</v>
      </c>
      <c r="O71" s="88" t="e">
        <f t="shared" si="29"/>
        <v>#VALUE!</v>
      </c>
      <c r="P71" s="50">
        <f>M71-L71</f>
        <v>233</v>
      </c>
      <c r="Q71" s="50">
        <f t="shared" si="30"/>
        <v>233</v>
      </c>
      <c r="R71" s="52" t="s">
        <v>320</v>
      </c>
      <c r="S71" s="376">
        <v>44713</v>
      </c>
      <c r="T71" s="52">
        <f>S71+(9*4.3*7)</f>
        <v>44983.9</v>
      </c>
      <c r="U71" s="50">
        <v>9.0000000000000497</v>
      </c>
      <c r="V71" s="50">
        <f t="shared" si="31"/>
        <v>9.0000000000000497</v>
      </c>
      <c r="W71" s="50"/>
      <c r="X71" s="52"/>
      <c r="Y71" s="50"/>
      <c r="Z71" s="53">
        <v>750000</v>
      </c>
      <c r="AA71" s="211">
        <v>0</v>
      </c>
      <c r="AB71" s="211">
        <v>0</v>
      </c>
      <c r="AC71" s="211">
        <v>0</v>
      </c>
      <c r="AD71" s="211">
        <v>0</v>
      </c>
      <c r="AE71" s="275">
        <v>90000</v>
      </c>
      <c r="AF71" s="275">
        <v>90000</v>
      </c>
      <c r="AG71" s="275">
        <v>90000</v>
      </c>
      <c r="AH71" s="275">
        <v>90000</v>
      </c>
      <c r="AI71" s="275">
        <v>90000</v>
      </c>
      <c r="AJ71" s="275">
        <v>90000</v>
      </c>
      <c r="AK71" s="275">
        <v>65000</v>
      </c>
      <c r="AL71" s="275">
        <f>50000+95000</f>
        <v>145000</v>
      </c>
      <c r="AM71" s="58"/>
      <c r="AN71" s="53"/>
      <c r="AO71" s="47"/>
      <c r="AP71" s="53">
        <f t="shared" si="33"/>
        <v>750000</v>
      </c>
      <c r="AQ71" s="51"/>
      <c r="AR71" s="359">
        <f t="shared" si="10"/>
        <v>0</v>
      </c>
      <c r="AT71" s="55"/>
    </row>
    <row r="72" spans="1:46" s="36" customFormat="1" ht="15.75" x14ac:dyDescent="0.25">
      <c r="A72" s="374" t="s">
        <v>735</v>
      </c>
      <c r="B72" s="375" t="s">
        <v>736</v>
      </c>
      <c r="C72" s="432" t="s">
        <v>835</v>
      </c>
      <c r="D72" s="52" t="s">
        <v>704</v>
      </c>
      <c r="E72" s="422" t="s">
        <v>892</v>
      </c>
      <c r="F72" s="57" t="s">
        <v>149</v>
      </c>
      <c r="G72" s="52" t="s">
        <v>623</v>
      </c>
      <c r="H72" s="52" t="s">
        <v>320</v>
      </c>
      <c r="I72" s="432"/>
      <c r="J72" s="330" t="s">
        <v>370</v>
      </c>
      <c r="K72" s="52">
        <v>44596</v>
      </c>
      <c r="L72" s="87">
        <v>44470</v>
      </c>
      <c r="M72" s="87">
        <v>44703</v>
      </c>
      <c r="N72" s="87">
        <f>L72+233</f>
        <v>44703</v>
      </c>
      <c r="O72" s="88" t="e">
        <f t="shared" si="29"/>
        <v>#VALUE!</v>
      </c>
      <c r="P72" s="50">
        <f>M72-L72</f>
        <v>233</v>
      </c>
      <c r="Q72" s="50">
        <f t="shared" si="30"/>
        <v>233</v>
      </c>
      <c r="R72" s="52" t="s">
        <v>320</v>
      </c>
      <c r="S72" s="376">
        <v>44713</v>
      </c>
      <c r="T72" s="52">
        <f>S72+(6*4.3*7)</f>
        <v>44893.599999999999</v>
      </c>
      <c r="U72" s="50">
        <v>5.999999999999952</v>
      </c>
      <c r="V72" s="50">
        <f t="shared" si="31"/>
        <v>5.999999999999952</v>
      </c>
      <c r="W72" s="50"/>
      <c r="X72" s="52"/>
      <c r="Y72" s="50"/>
      <c r="Z72" s="53">
        <v>600000</v>
      </c>
      <c r="AA72" s="211">
        <v>0</v>
      </c>
      <c r="AB72" s="211">
        <v>0</v>
      </c>
      <c r="AC72" s="211">
        <v>0</v>
      </c>
      <c r="AD72" s="211">
        <v>78765.179999999993</v>
      </c>
      <c r="AE72" s="58"/>
      <c r="AF72" s="58"/>
      <c r="AG72" s="275">
        <v>25000</v>
      </c>
      <c r="AH72" s="275">
        <v>50000</v>
      </c>
      <c r="AI72" s="275">
        <v>80000</v>
      </c>
      <c r="AJ72" s="275">
        <v>80000</v>
      </c>
      <c r="AK72" s="275">
        <v>80000</v>
      </c>
      <c r="AL72" s="275">
        <v>80000</v>
      </c>
      <c r="AM72" s="275">
        <v>80000</v>
      </c>
      <c r="AN72" s="275">
        <v>125000</v>
      </c>
      <c r="AO72" s="47"/>
      <c r="AP72" s="53">
        <f t="shared" si="33"/>
        <v>678765.17999999993</v>
      </c>
      <c r="AQ72" s="51"/>
      <c r="AR72" s="359">
        <f t="shared" si="10"/>
        <v>78765.179999999935</v>
      </c>
      <c r="AT72" s="55"/>
    </row>
    <row r="73" spans="1:46" s="36" customFormat="1" ht="15.75" x14ac:dyDescent="0.25">
      <c r="A73" s="374" t="s">
        <v>737</v>
      </c>
      <c r="B73" s="375" t="s">
        <v>740</v>
      </c>
      <c r="C73" s="432" t="s">
        <v>835</v>
      </c>
      <c r="D73" s="52" t="s">
        <v>704</v>
      </c>
      <c r="E73" s="422" t="s">
        <v>892</v>
      </c>
      <c r="F73" s="57" t="s">
        <v>149</v>
      </c>
      <c r="G73" s="52" t="s">
        <v>623</v>
      </c>
      <c r="H73" s="52" t="s">
        <v>320</v>
      </c>
      <c r="I73" s="432"/>
      <c r="J73" s="330" t="s">
        <v>370</v>
      </c>
      <c r="K73" s="52">
        <v>44596</v>
      </c>
      <c r="L73" s="87">
        <v>44835</v>
      </c>
      <c r="M73" s="87">
        <v>44686</v>
      </c>
      <c r="N73" s="87">
        <f>L73+233</f>
        <v>45068</v>
      </c>
      <c r="O73" s="88" t="e">
        <f t="shared" si="29"/>
        <v>#VALUE!</v>
      </c>
      <c r="P73" s="50">
        <f t="shared" ref="P73:P76" si="34">M73-K73</f>
        <v>90</v>
      </c>
      <c r="Q73" s="50">
        <f t="shared" si="30"/>
        <v>233</v>
      </c>
      <c r="R73" s="52" t="s">
        <v>320</v>
      </c>
      <c r="S73" s="376">
        <f>N73+30</f>
        <v>45098</v>
      </c>
      <c r="T73" s="52">
        <f>S73+(3*4.3*7)</f>
        <v>45188.3</v>
      </c>
      <c r="U73" s="50">
        <v>9.0000000000000497</v>
      </c>
      <c r="V73" s="50">
        <f t="shared" si="31"/>
        <v>3.0000000000000968</v>
      </c>
      <c r="W73" s="50"/>
      <c r="X73" s="52"/>
      <c r="Y73" s="50"/>
      <c r="Z73" s="53"/>
      <c r="AA73" s="211">
        <v>0</v>
      </c>
      <c r="AB73" s="211">
        <v>0</v>
      </c>
      <c r="AC73" s="211">
        <v>0</v>
      </c>
      <c r="AD73" s="211">
        <v>0</v>
      </c>
      <c r="AE73" s="58"/>
      <c r="AF73" s="58"/>
      <c r="AG73" s="58"/>
      <c r="AH73" s="58"/>
      <c r="AI73" s="58"/>
      <c r="AJ73" s="58"/>
      <c r="AK73" s="58"/>
      <c r="AL73" s="58"/>
      <c r="AM73" s="58"/>
      <c r="AN73" s="53"/>
      <c r="AO73" s="47"/>
      <c r="AP73" s="53">
        <f t="shared" si="33"/>
        <v>0</v>
      </c>
      <c r="AQ73" s="51"/>
      <c r="AR73" s="359">
        <f t="shared" si="10"/>
        <v>0</v>
      </c>
      <c r="AT73" s="55"/>
    </row>
    <row r="74" spans="1:46" s="36" customFormat="1" ht="15.75" x14ac:dyDescent="0.25">
      <c r="A74" s="374" t="s">
        <v>738</v>
      </c>
      <c r="B74" s="375" t="s">
        <v>740</v>
      </c>
      <c r="C74" s="432" t="s">
        <v>835</v>
      </c>
      <c r="D74" s="52" t="s">
        <v>704</v>
      </c>
      <c r="E74" s="422" t="s">
        <v>892</v>
      </c>
      <c r="F74" s="57" t="s">
        <v>149</v>
      </c>
      <c r="G74" s="52" t="s">
        <v>623</v>
      </c>
      <c r="H74" s="52" t="s">
        <v>320</v>
      </c>
      <c r="I74" s="432"/>
      <c r="J74" s="330" t="s">
        <v>370</v>
      </c>
      <c r="K74" s="52">
        <v>44596</v>
      </c>
      <c r="L74" s="87">
        <v>44835</v>
      </c>
      <c r="M74" s="87">
        <v>44686</v>
      </c>
      <c r="N74" s="87">
        <f>L74+233</f>
        <v>45068</v>
      </c>
      <c r="O74" s="88" t="e">
        <f t="shared" si="29"/>
        <v>#VALUE!</v>
      </c>
      <c r="P74" s="50">
        <f t="shared" si="34"/>
        <v>90</v>
      </c>
      <c r="Q74" s="50">
        <f t="shared" si="30"/>
        <v>233</v>
      </c>
      <c r="R74" s="52" t="s">
        <v>320</v>
      </c>
      <c r="S74" s="376">
        <f>N74+30</f>
        <v>45098</v>
      </c>
      <c r="T74" s="52">
        <f>S74+(3*4.3*7)</f>
        <v>45188.3</v>
      </c>
      <c r="U74" s="50">
        <v>9.0000000000000497</v>
      </c>
      <c r="V74" s="50">
        <f t="shared" si="31"/>
        <v>3.0000000000000968</v>
      </c>
      <c r="W74" s="50"/>
      <c r="X74" s="52"/>
      <c r="Y74" s="50"/>
      <c r="Z74" s="53"/>
      <c r="AA74" s="211">
        <v>0</v>
      </c>
      <c r="AB74" s="211">
        <v>0</v>
      </c>
      <c r="AC74" s="211">
        <v>0</v>
      </c>
      <c r="AD74" s="211">
        <v>0</v>
      </c>
      <c r="AE74" s="58"/>
      <c r="AF74" s="58"/>
      <c r="AG74" s="58"/>
      <c r="AH74" s="58"/>
      <c r="AI74" s="58"/>
      <c r="AJ74" s="58"/>
      <c r="AK74" s="58"/>
      <c r="AL74" s="58"/>
      <c r="AM74" s="58"/>
      <c r="AN74" s="53"/>
      <c r="AO74" s="47"/>
      <c r="AP74" s="53">
        <f t="shared" si="33"/>
        <v>0</v>
      </c>
      <c r="AQ74" s="51"/>
      <c r="AR74" s="359">
        <f t="shared" si="10"/>
        <v>0</v>
      </c>
    </row>
    <row r="75" spans="1:46" s="36" customFormat="1" ht="15.75" x14ac:dyDescent="0.25">
      <c r="A75" s="374" t="s">
        <v>156</v>
      </c>
      <c r="B75" s="375" t="s">
        <v>157</v>
      </c>
      <c r="C75" s="87" t="s">
        <v>837</v>
      </c>
      <c r="D75" s="52" t="s">
        <v>704</v>
      </c>
      <c r="E75" s="422" t="s">
        <v>892</v>
      </c>
      <c r="F75" s="57" t="s">
        <v>158</v>
      </c>
      <c r="G75" s="52" t="s">
        <v>623</v>
      </c>
      <c r="H75" s="87">
        <v>44682</v>
      </c>
      <c r="I75" s="87"/>
      <c r="J75" s="329" t="s">
        <v>370</v>
      </c>
      <c r="K75" s="52">
        <v>44497</v>
      </c>
      <c r="L75" s="298">
        <v>44362</v>
      </c>
      <c r="M75" s="298">
        <v>44547</v>
      </c>
      <c r="N75" s="87">
        <v>44712</v>
      </c>
      <c r="O75" s="88" t="e">
        <f t="shared" si="29"/>
        <v>#VALUE!</v>
      </c>
      <c r="P75" s="50">
        <f t="shared" si="34"/>
        <v>50</v>
      </c>
      <c r="Q75" s="50">
        <f t="shared" si="30"/>
        <v>350</v>
      </c>
      <c r="R75" s="52" t="s">
        <v>320</v>
      </c>
      <c r="S75" s="376">
        <v>44713</v>
      </c>
      <c r="T75" s="52">
        <f>S75+(9*4.3*7)</f>
        <v>44983.9</v>
      </c>
      <c r="U75" s="50">
        <v>9.0000000000000497</v>
      </c>
      <c r="V75" s="50">
        <f t="shared" si="31"/>
        <v>9.0000000000000497</v>
      </c>
      <c r="W75" s="50"/>
      <c r="X75" s="52"/>
      <c r="Y75" s="50"/>
      <c r="Z75" s="53">
        <v>2000000</v>
      </c>
      <c r="AA75" s="211">
        <v>0</v>
      </c>
      <c r="AB75" s="211">
        <v>0</v>
      </c>
      <c r="AC75" s="211">
        <v>210901.5</v>
      </c>
      <c r="AD75" s="211">
        <v>0</v>
      </c>
      <c r="AE75" s="275">
        <v>125000</v>
      </c>
      <c r="AF75" s="275">
        <v>200000</v>
      </c>
      <c r="AG75" s="275">
        <v>200000</v>
      </c>
      <c r="AH75" s="275">
        <v>200000</v>
      </c>
      <c r="AI75" s="275">
        <v>200000</v>
      </c>
      <c r="AJ75" s="275">
        <v>200000</v>
      </c>
      <c r="AK75" s="275">
        <v>200000</v>
      </c>
      <c r="AL75" s="275">
        <v>200000</v>
      </c>
      <c r="AM75" s="275">
        <v>164098.5</v>
      </c>
      <c r="AN75" s="53"/>
      <c r="AO75" s="47"/>
      <c r="AP75" s="53">
        <f t="shared" si="33"/>
        <v>1900000</v>
      </c>
      <c r="AQ75" s="51"/>
      <c r="AR75" s="359">
        <f t="shared" si="10"/>
        <v>-100000</v>
      </c>
    </row>
    <row r="76" spans="1:46" s="36" customFormat="1" ht="15.75" x14ac:dyDescent="0.25">
      <c r="A76" s="374" t="s">
        <v>159</v>
      </c>
      <c r="B76" s="375" t="s">
        <v>428</v>
      </c>
      <c r="C76" s="432" t="s">
        <v>837</v>
      </c>
      <c r="D76" s="52" t="s">
        <v>704</v>
      </c>
      <c r="E76" s="422" t="s">
        <v>892</v>
      </c>
      <c r="F76" s="57" t="s">
        <v>158</v>
      </c>
      <c r="G76" s="52" t="s">
        <v>623</v>
      </c>
      <c r="H76" s="87">
        <v>44682</v>
      </c>
      <c r="I76" s="432"/>
      <c r="J76" s="330" t="s">
        <v>370</v>
      </c>
      <c r="K76" s="52">
        <v>44526</v>
      </c>
      <c r="L76" s="87">
        <v>44752</v>
      </c>
      <c r="M76" s="87">
        <v>44616</v>
      </c>
      <c r="N76" s="87">
        <f>L76+60</f>
        <v>44812</v>
      </c>
      <c r="O76" s="88" t="e">
        <f t="shared" si="29"/>
        <v>#VALUE!</v>
      </c>
      <c r="P76" s="50">
        <f t="shared" si="34"/>
        <v>90</v>
      </c>
      <c r="Q76" s="50">
        <f t="shared" si="30"/>
        <v>60</v>
      </c>
      <c r="R76" s="52" t="s">
        <v>320</v>
      </c>
      <c r="S76" s="376">
        <v>44803</v>
      </c>
      <c r="T76" s="52">
        <f>S76+(6*4.3*7)</f>
        <v>44983.6</v>
      </c>
      <c r="U76" s="50">
        <v>4.0000000000000488</v>
      </c>
      <c r="V76" s="50">
        <f t="shared" si="31"/>
        <v>5.999999999999952</v>
      </c>
      <c r="W76" s="50"/>
      <c r="X76" s="52"/>
      <c r="Y76" s="50"/>
      <c r="Z76" s="53">
        <v>550000</v>
      </c>
      <c r="AA76" s="211">
        <v>0</v>
      </c>
      <c r="AB76" s="211">
        <v>0</v>
      </c>
      <c r="AC76" s="211">
        <v>43599.5</v>
      </c>
      <c r="AD76" s="211">
        <v>0</v>
      </c>
      <c r="AE76" s="58"/>
      <c r="AF76" s="58"/>
      <c r="AG76" s="58"/>
      <c r="AH76" s="58"/>
      <c r="AI76" s="275">
        <v>100000</v>
      </c>
      <c r="AJ76" s="275">
        <v>100000</v>
      </c>
      <c r="AK76" s="275">
        <v>125000</v>
      </c>
      <c r="AL76" s="275">
        <v>100000</v>
      </c>
      <c r="AM76" s="275">
        <v>81400.5</v>
      </c>
      <c r="AN76" s="53"/>
      <c r="AO76" s="47"/>
      <c r="AP76" s="53">
        <f t="shared" si="33"/>
        <v>550000</v>
      </c>
      <c r="AQ76" s="51"/>
      <c r="AR76" s="359">
        <f t="shared" si="10"/>
        <v>0</v>
      </c>
      <c r="AT76" s="55"/>
    </row>
    <row r="77" spans="1:46" s="36" customFormat="1" ht="15.75" x14ac:dyDescent="0.25">
      <c r="A77" s="99"/>
      <c r="B77" s="100"/>
      <c r="C77" s="429"/>
      <c r="D77" s="91"/>
      <c r="E77" s="429"/>
      <c r="F77" s="100"/>
      <c r="G77" s="91"/>
      <c r="H77" s="91"/>
      <c r="I77" s="429"/>
      <c r="J77" s="91"/>
      <c r="K77" s="91"/>
      <c r="L77" s="91"/>
      <c r="M77" s="91"/>
      <c r="N77" s="91"/>
      <c r="O77" s="92"/>
      <c r="P77" s="91"/>
      <c r="Q77" s="92"/>
      <c r="R77" s="91"/>
      <c r="S77" s="91"/>
      <c r="T77" s="91"/>
      <c r="U77" s="92"/>
      <c r="V77" s="91"/>
      <c r="W77" s="92"/>
      <c r="X77" s="91"/>
      <c r="Y77" s="92"/>
      <c r="Z77" s="448">
        <f t="shared" ref="Z77:AN77" si="35">SUBTOTAL(9,Z61:Z76)</f>
        <v>13053477.48</v>
      </c>
      <c r="AA77" s="243">
        <f t="shared" si="35"/>
        <v>941171.5199999999</v>
      </c>
      <c r="AB77" s="243">
        <f t="shared" si="35"/>
        <v>321016.49000000005</v>
      </c>
      <c r="AC77" s="243">
        <f t="shared" si="35"/>
        <v>991245.73</v>
      </c>
      <c r="AD77" s="448">
        <f t="shared" si="35"/>
        <v>1481427.4299999997</v>
      </c>
      <c r="AE77" s="448">
        <f t="shared" si="35"/>
        <v>1293923.3900000001</v>
      </c>
      <c r="AF77" s="448">
        <f t="shared" si="35"/>
        <v>1331441.51</v>
      </c>
      <c r="AG77" s="448">
        <f t="shared" si="35"/>
        <v>1286698.3199999998</v>
      </c>
      <c r="AH77" s="448">
        <f t="shared" si="35"/>
        <v>1195000</v>
      </c>
      <c r="AI77" s="448">
        <f t="shared" si="35"/>
        <v>1200000</v>
      </c>
      <c r="AJ77" s="448">
        <f t="shared" si="35"/>
        <v>1144660.52</v>
      </c>
      <c r="AK77" s="448">
        <f t="shared" si="35"/>
        <v>1037821</v>
      </c>
      <c r="AL77" s="448">
        <f t="shared" si="35"/>
        <v>735000</v>
      </c>
      <c r="AM77" s="448">
        <f t="shared" si="35"/>
        <v>325499</v>
      </c>
      <c r="AN77" s="448">
        <f t="shared" si="35"/>
        <v>125000</v>
      </c>
      <c r="AO77" s="449"/>
      <c r="AP77" s="448">
        <f>SUBTOTAL(9,AP60:AP76)</f>
        <v>13409904.91</v>
      </c>
      <c r="AQ77" s="51"/>
      <c r="AR77" s="359">
        <f t="shared" si="10"/>
        <v>356427.4299999997</v>
      </c>
    </row>
    <row r="78" spans="1:46" s="36" customFormat="1" ht="15.75" x14ac:dyDescent="0.25">
      <c r="A78" s="381" t="s">
        <v>623</v>
      </c>
      <c r="B78" s="106"/>
      <c r="C78" s="420"/>
      <c r="D78" s="102"/>
      <c r="E78" s="420"/>
      <c r="F78" s="106"/>
      <c r="G78" s="102"/>
      <c r="H78" s="102"/>
      <c r="I78" s="420"/>
      <c r="J78" s="102"/>
      <c r="K78" s="102"/>
      <c r="L78" s="276"/>
      <c r="M78" s="276"/>
      <c r="N78" s="276"/>
      <c r="O78" s="84"/>
      <c r="P78" s="276"/>
      <c r="Q78" s="84"/>
      <c r="R78" s="102"/>
      <c r="S78" s="102"/>
      <c r="T78" s="102"/>
      <c r="U78" s="84"/>
      <c r="V78" s="102"/>
      <c r="W78" s="102"/>
      <c r="X78" s="276"/>
      <c r="Y78" s="102"/>
      <c r="Z78" s="102"/>
      <c r="AA78" s="495"/>
      <c r="AB78" s="495"/>
      <c r="AC78" s="495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47"/>
      <c r="AP78" s="103"/>
      <c r="AQ78" s="51"/>
      <c r="AR78" s="359">
        <f t="shared" si="10"/>
        <v>0</v>
      </c>
    </row>
    <row r="79" spans="1:46" s="36" customFormat="1" ht="15.75" x14ac:dyDescent="0.25">
      <c r="A79" s="113" t="s">
        <v>191</v>
      </c>
      <c r="B79" s="113" t="s">
        <v>192</v>
      </c>
      <c r="C79" s="52" t="s">
        <v>184</v>
      </c>
      <c r="D79" s="52" t="s">
        <v>45</v>
      </c>
      <c r="E79" s="52" t="s">
        <v>45</v>
      </c>
      <c r="F79" s="113" t="s">
        <v>193</v>
      </c>
      <c r="G79" s="52" t="s">
        <v>623</v>
      </c>
      <c r="H79" s="52" t="s">
        <v>320</v>
      </c>
      <c r="I79" s="52"/>
      <c r="J79" s="276" t="s">
        <v>320</v>
      </c>
      <c r="K79" s="87">
        <v>44713</v>
      </c>
      <c r="L79" s="298">
        <v>44704</v>
      </c>
      <c r="M79" s="299">
        <v>44758</v>
      </c>
      <c r="N79" s="52">
        <f>L79+45</f>
        <v>44749</v>
      </c>
      <c r="O79" s="88" t="e">
        <f t="shared" ref="O79:O93" si="36">N79-J79</f>
        <v>#VALUE!</v>
      </c>
      <c r="P79" s="50">
        <f t="shared" ref="P79:Q93" si="37">M79-K79</f>
        <v>45</v>
      </c>
      <c r="Q79" s="50">
        <f t="shared" si="37"/>
        <v>45</v>
      </c>
      <c r="R79" s="52" t="s">
        <v>320</v>
      </c>
      <c r="S79" s="52">
        <f>N79+30</f>
        <v>44779</v>
      </c>
      <c r="T79" s="52">
        <f>S79+(12*4.3*7)</f>
        <v>45140.2</v>
      </c>
      <c r="U79" s="50">
        <v>11.999999999999904</v>
      </c>
      <c r="V79" s="50">
        <f t="shared" ref="V79:V81" si="38">((T79-S79)/7)/4.3</f>
        <v>11.999999999999904</v>
      </c>
      <c r="W79" s="50"/>
      <c r="X79" s="52"/>
      <c r="Y79" s="50"/>
      <c r="Z79" s="53">
        <v>4000000</v>
      </c>
      <c r="AA79" s="211">
        <v>0</v>
      </c>
      <c r="AB79" s="211">
        <v>0</v>
      </c>
      <c r="AC79" s="211">
        <v>0</v>
      </c>
      <c r="AD79" s="211">
        <v>0</v>
      </c>
      <c r="AE79" s="275">
        <v>250000</v>
      </c>
      <c r="AF79" s="275">
        <v>340000</v>
      </c>
      <c r="AG79" s="275">
        <v>340000</v>
      </c>
      <c r="AH79" s="275">
        <v>340000</v>
      </c>
      <c r="AI79" s="275">
        <v>340000</v>
      </c>
      <c r="AJ79" s="275">
        <v>340000</v>
      </c>
      <c r="AK79" s="275">
        <v>340000</v>
      </c>
      <c r="AL79" s="275">
        <v>340000</v>
      </c>
      <c r="AM79" s="275">
        <v>340000</v>
      </c>
      <c r="AN79" s="275">
        <v>830000</v>
      </c>
      <c r="AO79" s="47"/>
      <c r="AP79" s="53">
        <f t="shared" ref="AP79:AP81" si="39">SUM(AA79:AO79)</f>
        <v>3800000</v>
      </c>
      <c r="AQ79" s="51"/>
      <c r="AR79" s="359">
        <f t="shared" si="10"/>
        <v>-200000</v>
      </c>
    </row>
    <row r="80" spans="1:46" s="36" customFormat="1" ht="15.75" x14ac:dyDescent="0.25">
      <c r="A80" s="374" t="s">
        <v>591</v>
      </c>
      <c r="B80" s="375" t="s">
        <v>592</v>
      </c>
      <c r="C80" s="423" t="s">
        <v>825</v>
      </c>
      <c r="D80" s="52" t="s">
        <v>45</v>
      </c>
      <c r="E80" s="423" t="s">
        <v>890</v>
      </c>
      <c r="F80" s="61" t="s">
        <v>698</v>
      </c>
      <c r="G80" s="52" t="s">
        <v>623</v>
      </c>
      <c r="H80" s="52" t="s">
        <v>320</v>
      </c>
      <c r="I80" s="423"/>
      <c r="J80" s="87">
        <v>44713</v>
      </c>
      <c r="K80" s="87">
        <v>44668</v>
      </c>
      <c r="L80" s="87">
        <v>44682</v>
      </c>
      <c r="M80" s="52">
        <v>44713</v>
      </c>
      <c r="N80" s="87">
        <f>L80+28</f>
        <v>44710</v>
      </c>
      <c r="O80" s="88">
        <f t="shared" si="36"/>
        <v>-3</v>
      </c>
      <c r="P80" s="50">
        <f t="shared" si="37"/>
        <v>45</v>
      </c>
      <c r="Q80" s="50">
        <f t="shared" si="37"/>
        <v>28</v>
      </c>
      <c r="R80" s="52" t="s">
        <v>320</v>
      </c>
      <c r="S80" s="52">
        <v>44713</v>
      </c>
      <c r="T80" s="52">
        <f>S80+(6*4.3*7)</f>
        <v>44893.599999999999</v>
      </c>
      <c r="U80" s="50">
        <v>5.999999999999952</v>
      </c>
      <c r="V80" s="50">
        <f t="shared" si="38"/>
        <v>5.999999999999952</v>
      </c>
      <c r="W80" s="50"/>
      <c r="X80" s="52"/>
      <c r="Y80" s="50"/>
      <c r="Z80" s="182">
        <v>988611</v>
      </c>
      <c r="AA80" s="211">
        <v>0</v>
      </c>
      <c r="AB80" s="211">
        <v>0</v>
      </c>
      <c r="AC80" s="211">
        <v>0</v>
      </c>
      <c r="AD80" s="211">
        <v>0</v>
      </c>
      <c r="AE80" s="275">
        <v>100000</v>
      </c>
      <c r="AF80" s="275">
        <v>100000</v>
      </c>
      <c r="AG80" s="275">
        <v>100000</v>
      </c>
      <c r="AH80" s="58"/>
      <c r="AI80" s="58"/>
      <c r="AJ80" s="58"/>
      <c r="AK80" s="58"/>
      <c r="AL80" s="58">
        <v>25000</v>
      </c>
      <c r="AM80" s="58"/>
      <c r="AN80" s="58">
        <v>588611</v>
      </c>
      <c r="AO80" s="47"/>
      <c r="AP80" s="53">
        <f t="shared" si="39"/>
        <v>913611</v>
      </c>
      <c r="AQ80" s="51"/>
      <c r="AR80" s="359">
        <f t="shared" si="10"/>
        <v>-75000</v>
      </c>
      <c r="AT80" s="55"/>
    </row>
    <row r="81" spans="1:46" s="36" customFormat="1" ht="15.75" x14ac:dyDescent="0.25">
      <c r="A81" s="113" t="s">
        <v>717</v>
      </c>
      <c r="B81" s="114" t="s">
        <v>524</v>
      </c>
      <c r="C81" s="423" t="s">
        <v>824</v>
      </c>
      <c r="D81" s="52" t="s">
        <v>45</v>
      </c>
      <c r="E81" s="423" t="s">
        <v>45</v>
      </c>
      <c r="F81" s="61" t="s">
        <v>522</v>
      </c>
      <c r="G81" s="52" t="s">
        <v>623</v>
      </c>
      <c r="H81" s="52" t="s">
        <v>320</v>
      </c>
      <c r="I81" s="423"/>
      <c r="J81" s="87">
        <v>44652</v>
      </c>
      <c r="K81" s="87">
        <v>44668</v>
      </c>
      <c r="L81" s="87">
        <v>44752</v>
      </c>
      <c r="M81" s="52">
        <v>44713</v>
      </c>
      <c r="N81" s="87">
        <f>L81+45</f>
        <v>44797</v>
      </c>
      <c r="O81" s="88">
        <f t="shared" si="36"/>
        <v>145</v>
      </c>
      <c r="P81" s="50">
        <f t="shared" si="37"/>
        <v>45</v>
      </c>
      <c r="Q81" s="50">
        <f t="shared" si="37"/>
        <v>45</v>
      </c>
      <c r="R81" s="52" t="s">
        <v>320</v>
      </c>
      <c r="S81" s="87">
        <v>44713</v>
      </c>
      <c r="T81" s="52">
        <f>S81+(10*4.3*7)</f>
        <v>45014</v>
      </c>
      <c r="U81" s="50">
        <v>10</v>
      </c>
      <c r="V81" s="50">
        <f t="shared" si="38"/>
        <v>10</v>
      </c>
      <c r="W81" s="50"/>
      <c r="X81" s="52"/>
      <c r="Y81" s="50"/>
      <c r="Z81" s="53">
        <v>3000000</v>
      </c>
      <c r="AA81" s="211">
        <v>0</v>
      </c>
      <c r="AB81" s="211">
        <v>0</v>
      </c>
      <c r="AC81" s="211">
        <v>0</v>
      </c>
      <c r="AD81" s="211">
        <v>0</v>
      </c>
      <c r="AE81" s="275">
        <v>250000</v>
      </c>
      <c r="AF81" s="275">
        <v>300000</v>
      </c>
      <c r="AG81" s="275">
        <v>300000</v>
      </c>
      <c r="AH81" s="275">
        <v>300000</v>
      </c>
      <c r="AI81" s="275">
        <v>300000</v>
      </c>
      <c r="AJ81" s="275">
        <v>300000</v>
      </c>
      <c r="AK81" s="275">
        <v>300000</v>
      </c>
      <c r="AL81" s="275">
        <v>300000</v>
      </c>
      <c r="AM81" s="275">
        <v>300000</v>
      </c>
      <c r="AN81" s="275">
        <v>225000</v>
      </c>
      <c r="AO81" s="47"/>
      <c r="AP81" s="53">
        <f t="shared" si="39"/>
        <v>2875000</v>
      </c>
      <c r="AQ81" s="51"/>
      <c r="AR81" s="359">
        <f t="shared" si="10"/>
        <v>-125000</v>
      </c>
    </row>
    <row r="82" spans="1:46" s="36" customFormat="1" ht="15.75" x14ac:dyDescent="0.25">
      <c r="A82" s="484" t="s">
        <v>475</v>
      </c>
      <c r="B82" s="180" t="s">
        <v>793</v>
      </c>
      <c r="C82" s="52" t="s">
        <v>831</v>
      </c>
      <c r="D82" s="394" t="s">
        <v>873</v>
      </c>
      <c r="E82" s="469" t="s">
        <v>892</v>
      </c>
      <c r="F82" s="63" t="s">
        <v>864</v>
      </c>
      <c r="G82" s="52" t="s">
        <v>623</v>
      </c>
      <c r="H82" s="52" t="s">
        <v>320</v>
      </c>
      <c r="I82" s="426"/>
      <c r="J82" s="52">
        <v>44958</v>
      </c>
      <c r="K82" s="52">
        <v>44682</v>
      </c>
      <c r="L82" s="87">
        <v>44778</v>
      </c>
      <c r="M82" s="87">
        <v>44742</v>
      </c>
      <c r="N82" s="87">
        <f>L82+180</f>
        <v>44958</v>
      </c>
      <c r="O82" s="88">
        <f t="shared" si="36"/>
        <v>0</v>
      </c>
      <c r="P82" s="50">
        <f t="shared" si="37"/>
        <v>60</v>
      </c>
      <c r="Q82" s="50">
        <f t="shared" si="37"/>
        <v>180</v>
      </c>
      <c r="R82" s="52" t="s">
        <v>320</v>
      </c>
      <c r="S82" s="52">
        <f>N82+30</f>
        <v>44988</v>
      </c>
      <c r="T82" s="52">
        <f>S82+(12*4.3*7)</f>
        <v>45349.2</v>
      </c>
      <c r="U82" s="50">
        <v>11.999999999999904</v>
      </c>
      <c r="V82" s="50">
        <f>((T82-S82)/7)/4.3</f>
        <v>11.999999999999904</v>
      </c>
      <c r="W82" s="50"/>
      <c r="X82" s="52"/>
      <c r="Y82" s="50"/>
      <c r="Z82" s="58">
        <v>14000000</v>
      </c>
      <c r="AA82" s="211">
        <v>0</v>
      </c>
      <c r="AB82" s="211">
        <v>0</v>
      </c>
      <c r="AC82" s="211">
        <v>0</v>
      </c>
      <c r="AD82" s="211">
        <v>0</v>
      </c>
      <c r="AE82" s="58"/>
      <c r="AF82" s="58"/>
      <c r="AG82" s="58"/>
      <c r="AH82" s="58"/>
      <c r="AI82" s="58"/>
      <c r="AJ82" s="275">
        <v>1250000</v>
      </c>
      <c r="AK82" s="275">
        <v>1250000</v>
      </c>
      <c r="AL82" s="275">
        <v>1250000</v>
      </c>
      <c r="AM82" s="275">
        <v>1250000</v>
      </c>
      <c r="AN82" s="275">
        <f>3200000+5800000</f>
        <v>9000000</v>
      </c>
      <c r="AO82" s="47"/>
      <c r="AP82" s="53">
        <f t="shared" ref="AP82:AP93" si="40">SUM(AA82:AO82)</f>
        <v>14000000</v>
      </c>
      <c r="AQ82" s="51"/>
      <c r="AR82" s="359">
        <f t="shared" si="10"/>
        <v>0</v>
      </c>
      <c r="AT82" s="55"/>
    </row>
    <row r="83" spans="1:46" s="36" customFormat="1" ht="15.75" x14ac:dyDescent="0.25">
      <c r="A83" s="185" t="s">
        <v>800</v>
      </c>
      <c r="B83" s="319" t="s">
        <v>798</v>
      </c>
      <c r="C83" s="321" t="s">
        <v>813</v>
      </c>
      <c r="D83" s="321" t="s">
        <v>45</v>
      </c>
      <c r="E83" s="428" t="s">
        <v>890</v>
      </c>
      <c r="F83" s="366" t="s">
        <v>864</v>
      </c>
      <c r="G83" s="321" t="s">
        <v>623</v>
      </c>
      <c r="H83" s="332" t="s">
        <v>24</v>
      </c>
      <c r="I83" s="425"/>
      <c r="J83" s="332" t="s">
        <v>24</v>
      </c>
      <c r="K83" s="332" t="s">
        <v>24</v>
      </c>
      <c r="L83" s="332" t="s">
        <v>24</v>
      </c>
      <c r="M83" s="332" t="s">
        <v>24</v>
      </c>
      <c r="N83" s="332" t="s">
        <v>24</v>
      </c>
      <c r="O83" s="332" t="s">
        <v>24</v>
      </c>
      <c r="P83" s="332" t="s">
        <v>24</v>
      </c>
      <c r="Q83" s="332" t="s">
        <v>24</v>
      </c>
      <c r="R83" s="343" t="s">
        <v>24</v>
      </c>
      <c r="S83" s="343" t="s">
        <v>24</v>
      </c>
      <c r="T83" s="343" t="s">
        <v>24</v>
      </c>
      <c r="U83" s="343" t="s">
        <v>24</v>
      </c>
      <c r="V83" s="343" t="s">
        <v>24</v>
      </c>
      <c r="W83" s="343" t="s">
        <v>24</v>
      </c>
      <c r="X83" s="343" t="s">
        <v>24</v>
      </c>
      <c r="Y83" s="343" t="s">
        <v>24</v>
      </c>
      <c r="Z83" s="53"/>
      <c r="AA83" s="211">
        <v>0</v>
      </c>
      <c r="AB83" s="211">
        <v>0</v>
      </c>
      <c r="AC83" s="211">
        <v>0</v>
      </c>
      <c r="AD83" s="211">
        <v>0</v>
      </c>
      <c r="AE83" s="58"/>
      <c r="AF83" s="58"/>
      <c r="AG83" s="58"/>
      <c r="AH83" s="58"/>
      <c r="AI83" s="58"/>
      <c r="AJ83" s="58"/>
      <c r="AK83" s="58"/>
      <c r="AL83" s="58"/>
      <c r="AM83" s="58"/>
      <c r="AN83" s="53"/>
      <c r="AO83" s="47"/>
      <c r="AP83" s="53">
        <f t="shared" si="40"/>
        <v>0</v>
      </c>
      <c r="AQ83" s="51"/>
      <c r="AR83" s="359">
        <f t="shared" si="10"/>
        <v>0</v>
      </c>
    </row>
    <row r="84" spans="1:46" s="36" customFormat="1" ht="15.75" x14ac:dyDescent="0.25">
      <c r="A84" s="374" t="s">
        <v>228</v>
      </c>
      <c r="B84" s="375" t="s">
        <v>579</v>
      </c>
      <c r="C84" s="87" t="s">
        <v>838</v>
      </c>
      <c r="D84" s="52" t="s">
        <v>45</v>
      </c>
      <c r="E84" s="52" t="s">
        <v>893</v>
      </c>
      <c r="F84" s="56" t="s">
        <v>230</v>
      </c>
      <c r="G84" s="52" t="s">
        <v>623</v>
      </c>
      <c r="H84" s="52" t="s">
        <v>320</v>
      </c>
      <c r="I84" s="87"/>
      <c r="J84" s="330" t="s">
        <v>370</v>
      </c>
      <c r="K84" s="52">
        <v>44610</v>
      </c>
      <c r="L84" s="329">
        <v>44610</v>
      </c>
      <c r="M84" s="87">
        <v>44620</v>
      </c>
      <c r="N84" s="87">
        <f>L84+90</f>
        <v>44700</v>
      </c>
      <c r="O84" s="88" t="e">
        <f t="shared" si="36"/>
        <v>#VALUE!</v>
      </c>
      <c r="P84" s="50">
        <f t="shared" ref="P84:P93" si="41">M84-K84</f>
        <v>10</v>
      </c>
      <c r="Q84" s="50">
        <f t="shared" si="37"/>
        <v>90</v>
      </c>
      <c r="R84" s="52" t="s">
        <v>320</v>
      </c>
      <c r="S84" s="376">
        <f>N84</f>
        <v>44700</v>
      </c>
      <c r="T84" s="52">
        <f>S84+(9*4.3*7)</f>
        <v>44970.9</v>
      </c>
      <c r="U84" s="50">
        <v>9.0000000000000497</v>
      </c>
      <c r="V84" s="50">
        <f t="shared" ref="V84:V93" si="42">((T84-S84)/7)/4.3</f>
        <v>9.0000000000000497</v>
      </c>
      <c r="W84" s="50"/>
      <c r="X84" s="52"/>
      <c r="Y84" s="52"/>
      <c r="Z84" s="53">
        <v>2229000</v>
      </c>
      <c r="AA84" s="211">
        <v>0</v>
      </c>
      <c r="AB84" s="211">
        <v>0</v>
      </c>
      <c r="AC84" s="211">
        <v>201811</v>
      </c>
      <c r="AD84" s="211">
        <v>0</v>
      </c>
      <c r="AE84" s="58"/>
      <c r="AF84" s="58"/>
      <c r="AG84" s="275">
        <v>250000</v>
      </c>
      <c r="AH84" s="275">
        <v>250000</v>
      </c>
      <c r="AI84" s="275">
        <v>250000</v>
      </c>
      <c r="AJ84" s="275">
        <v>250000</v>
      </c>
      <c r="AK84" s="275">
        <v>250000</v>
      </c>
      <c r="AL84" s="275">
        <v>250000</v>
      </c>
      <c r="AM84" s="275">
        <v>204000</v>
      </c>
      <c r="AN84" s="275">
        <v>323189</v>
      </c>
      <c r="AO84" s="47"/>
      <c r="AP84" s="53">
        <f t="shared" si="40"/>
        <v>2229000</v>
      </c>
      <c r="AQ84" s="51"/>
      <c r="AR84" s="359">
        <f t="shared" si="10"/>
        <v>0</v>
      </c>
    </row>
    <row r="85" spans="1:46" s="36" customFormat="1" ht="15.75" x14ac:dyDescent="0.25">
      <c r="A85" s="374" t="s">
        <v>578</v>
      </c>
      <c r="B85" s="375" t="s">
        <v>443</v>
      </c>
      <c r="C85" s="87" t="s">
        <v>838</v>
      </c>
      <c r="D85" s="52" t="s">
        <v>45</v>
      </c>
      <c r="E85" s="52" t="s">
        <v>893</v>
      </c>
      <c r="F85" s="56" t="s">
        <v>230</v>
      </c>
      <c r="G85" s="52" t="s">
        <v>623</v>
      </c>
      <c r="H85" s="52" t="s">
        <v>320</v>
      </c>
      <c r="I85" s="87"/>
      <c r="J85" s="330" t="s">
        <v>370</v>
      </c>
      <c r="K85" s="52">
        <v>44530</v>
      </c>
      <c r="L85" s="87">
        <f>N84</f>
        <v>44700</v>
      </c>
      <c r="M85" s="87">
        <v>44620</v>
      </c>
      <c r="N85" s="87">
        <f>L85+45</f>
        <v>44745</v>
      </c>
      <c r="O85" s="88" t="e">
        <f t="shared" si="36"/>
        <v>#VALUE!</v>
      </c>
      <c r="P85" s="50">
        <f t="shared" si="41"/>
        <v>90</v>
      </c>
      <c r="Q85" s="50">
        <f t="shared" si="37"/>
        <v>45</v>
      </c>
      <c r="R85" s="52" t="s">
        <v>320</v>
      </c>
      <c r="S85" s="376">
        <f>N85+90</f>
        <v>44835</v>
      </c>
      <c r="T85" s="52">
        <f>S85+(4*4.3*7)</f>
        <v>44955.4</v>
      </c>
      <c r="U85" s="50">
        <v>4.0000000000000488</v>
      </c>
      <c r="V85" s="50">
        <f t="shared" si="42"/>
        <v>4.0000000000000488</v>
      </c>
      <c r="W85" s="50"/>
      <c r="X85" s="52"/>
      <c r="Y85" s="50"/>
      <c r="Z85" s="53">
        <v>360000</v>
      </c>
      <c r="AA85" s="211">
        <v>0</v>
      </c>
      <c r="AB85" s="211">
        <v>0</v>
      </c>
      <c r="AC85" s="211">
        <v>21249</v>
      </c>
      <c r="AD85" s="211">
        <v>0</v>
      </c>
      <c r="AE85" s="58"/>
      <c r="AF85" s="58"/>
      <c r="AG85" s="58"/>
      <c r="AH85" s="58"/>
      <c r="AI85" s="58"/>
      <c r="AJ85" s="58"/>
      <c r="AK85" s="58"/>
      <c r="AL85" s="275">
        <v>125000</v>
      </c>
      <c r="AM85" s="275">
        <v>125000</v>
      </c>
      <c r="AN85" s="275">
        <v>88751</v>
      </c>
      <c r="AO85" s="47"/>
      <c r="AP85" s="53">
        <f t="shared" si="40"/>
        <v>360000</v>
      </c>
      <c r="AQ85" s="51"/>
      <c r="AR85" s="359">
        <f t="shared" si="10"/>
        <v>0</v>
      </c>
      <c r="AT85" s="55"/>
    </row>
    <row r="86" spans="1:46" s="36" customFormat="1" ht="15.75" x14ac:dyDescent="0.25">
      <c r="A86" s="185"/>
      <c r="B86" s="114" t="s">
        <v>840</v>
      </c>
      <c r="C86" s="432" t="s">
        <v>843</v>
      </c>
      <c r="D86" s="52" t="s">
        <v>45</v>
      </c>
      <c r="E86" s="422" t="s">
        <v>890</v>
      </c>
      <c r="F86" s="57" t="s">
        <v>839</v>
      </c>
      <c r="G86" s="52" t="s">
        <v>623</v>
      </c>
      <c r="H86" s="52" t="s">
        <v>320</v>
      </c>
      <c r="I86" s="432"/>
      <c r="J86" s="298">
        <v>44722</v>
      </c>
      <c r="K86" s="52">
        <v>44743</v>
      </c>
      <c r="L86" s="87">
        <v>44743</v>
      </c>
      <c r="M86" s="87">
        <f>K86+50</f>
        <v>44793</v>
      </c>
      <c r="N86" s="87">
        <f>L86+50</f>
        <v>44793</v>
      </c>
      <c r="O86" s="88">
        <f t="shared" si="36"/>
        <v>71</v>
      </c>
      <c r="P86" s="50">
        <f t="shared" si="41"/>
        <v>50</v>
      </c>
      <c r="Q86" s="50">
        <f t="shared" si="37"/>
        <v>50</v>
      </c>
      <c r="R86" s="52" t="s">
        <v>320</v>
      </c>
      <c r="S86" s="376">
        <f>N86</f>
        <v>44793</v>
      </c>
      <c r="T86" s="52">
        <f>S86+(12*4.3*7)</f>
        <v>45154.2</v>
      </c>
      <c r="U86" s="50">
        <v>4.0000000000000488</v>
      </c>
      <c r="V86" s="50">
        <f t="shared" si="42"/>
        <v>11.999999999999904</v>
      </c>
      <c r="W86" s="50"/>
      <c r="X86" s="52"/>
      <c r="Y86" s="50"/>
      <c r="Z86" s="53">
        <v>3000000</v>
      </c>
      <c r="AA86" s="211">
        <v>0</v>
      </c>
      <c r="AB86" s="211">
        <v>0</v>
      </c>
      <c r="AC86" s="211">
        <v>0</v>
      </c>
      <c r="AD86" s="211">
        <v>0</v>
      </c>
      <c r="AE86" s="58"/>
      <c r="AF86" s="89"/>
      <c r="AG86" s="89"/>
      <c r="AH86" s="89"/>
      <c r="AI86" s="89"/>
      <c r="AJ86" s="58"/>
      <c r="AK86" s="58"/>
      <c r="AL86" s="58"/>
      <c r="AM86" s="58"/>
      <c r="AN86" s="53">
        <v>3000000</v>
      </c>
      <c r="AO86" s="47"/>
      <c r="AP86" s="53">
        <f t="shared" si="40"/>
        <v>3000000</v>
      </c>
      <c r="AQ86" s="51"/>
      <c r="AR86" s="359">
        <f t="shared" si="10"/>
        <v>0</v>
      </c>
      <c r="AT86" s="55"/>
    </row>
    <row r="87" spans="1:46" s="36" customFormat="1" ht="15.75" x14ac:dyDescent="0.25">
      <c r="A87" s="185"/>
      <c r="B87" s="114" t="s">
        <v>841</v>
      </c>
      <c r="C87" s="432" t="s">
        <v>842</v>
      </c>
      <c r="D87" s="52" t="s">
        <v>45</v>
      </c>
      <c r="E87" s="422" t="s">
        <v>890</v>
      </c>
      <c r="F87" s="57" t="s">
        <v>844</v>
      </c>
      <c r="G87" s="52" t="s">
        <v>623</v>
      </c>
      <c r="H87" s="52" t="s">
        <v>320</v>
      </c>
      <c r="I87" s="432"/>
      <c r="J87" s="298">
        <v>44659</v>
      </c>
      <c r="K87" s="52">
        <v>44690</v>
      </c>
      <c r="L87" s="87">
        <v>44690</v>
      </c>
      <c r="M87" s="87">
        <v>44740</v>
      </c>
      <c r="N87" s="87">
        <f>L87+50</f>
        <v>44740</v>
      </c>
      <c r="O87" s="88">
        <f t="shared" si="36"/>
        <v>81</v>
      </c>
      <c r="P87" s="50">
        <f t="shared" si="41"/>
        <v>50</v>
      </c>
      <c r="Q87" s="50">
        <f t="shared" si="37"/>
        <v>50</v>
      </c>
      <c r="R87" s="52" t="s">
        <v>320</v>
      </c>
      <c r="S87" s="376">
        <f>N87</f>
        <v>44740</v>
      </c>
      <c r="T87" s="52">
        <f>S87+(6*4.3*7)</f>
        <v>44920.6</v>
      </c>
      <c r="U87" s="50">
        <v>4.0000000000000488</v>
      </c>
      <c r="V87" s="50">
        <f t="shared" si="42"/>
        <v>5.999999999999952</v>
      </c>
      <c r="W87" s="50"/>
      <c r="X87" s="52"/>
      <c r="Y87" s="50"/>
      <c r="Z87" s="53">
        <v>900000</v>
      </c>
      <c r="AA87" s="211">
        <v>0</v>
      </c>
      <c r="AB87" s="211">
        <v>0</v>
      </c>
      <c r="AC87" s="211">
        <v>0</v>
      </c>
      <c r="AD87" s="211">
        <v>0</v>
      </c>
      <c r="AE87" s="58"/>
      <c r="AF87" s="89"/>
      <c r="AG87" s="89"/>
      <c r="AH87" s="89"/>
      <c r="AI87" s="89"/>
      <c r="AJ87" s="58"/>
      <c r="AK87" s="58"/>
      <c r="AL87" s="58"/>
      <c r="AM87" s="58"/>
      <c r="AN87" s="53">
        <v>900000</v>
      </c>
      <c r="AO87" s="47"/>
      <c r="AP87" s="53">
        <f t="shared" si="40"/>
        <v>900000</v>
      </c>
      <c r="AQ87" s="51"/>
      <c r="AR87" s="359">
        <f t="shared" si="10"/>
        <v>0</v>
      </c>
      <c r="AT87" s="55"/>
    </row>
    <row r="88" spans="1:46" s="36" customFormat="1" ht="15.75" x14ac:dyDescent="0.25">
      <c r="A88" s="185"/>
      <c r="B88" s="114" t="s">
        <v>882</v>
      </c>
      <c r="C88" s="432" t="s">
        <v>941</v>
      </c>
      <c r="D88" s="52" t="s">
        <v>45</v>
      </c>
      <c r="E88" s="422" t="s">
        <v>890</v>
      </c>
      <c r="F88" s="57"/>
      <c r="G88" s="52" t="s">
        <v>623</v>
      </c>
      <c r="H88" s="52" t="s">
        <v>320</v>
      </c>
      <c r="I88" s="432"/>
      <c r="J88" s="299">
        <v>44748</v>
      </c>
      <c r="K88" s="299">
        <v>44792</v>
      </c>
      <c r="L88" s="298">
        <v>44792</v>
      </c>
      <c r="M88" s="298">
        <v>44832</v>
      </c>
      <c r="N88" s="87">
        <f>L88+40</f>
        <v>44832</v>
      </c>
      <c r="O88" s="88">
        <f t="shared" si="36"/>
        <v>84</v>
      </c>
      <c r="P88" s="50">
        <f t="shared" si="41"/>
        <v>40</v>
      </c>
      <c r="Q88" s="50">
        <f t="shared" si="37"/>
        <v>40</v>
      </c>
      <c r="R88" s="52" t="s">
        <v>320</v>
      </c>
      <c r="S88" s="87">
        <v>44748</v>
      </c>
      <c r="T88" s="52">
        <f>S88+(12*4.3*7)</f>
        <v>45109.2</v>
      </c>
      <c r="U88" s="50">
        <v>4.0000000000000488</v>
      </c>
      <c r="V88" s="50">
        <f t="shared" si="42"/>
        <v>11.999999999999904</v>
      </c>
      <c r="W88" s="50"/>
      <c r="X88" s="52"/>
      <c r="Y88" s="50"/>
      <c r="Z88" s="53">
        <v>5000000</v>
      </c>
      <c r="AA88" s="211">
        <v>0</v>
      </c>
      <c r="AB88" s="211">
        <v>0</v>
      </c>
      <c r="AC88" s="211">
        <v>0</v>
      </c>
      <c r="AD88" s="211">
        <v>0</v>
      </c>
      <c r="AE88" s="58"/>
      <c r="AF88" s="89"/>
      <c r="AG88" s="89"/>
      <c r="AH88" s="89"/>
      <c r="AI88" s="275">
        <v>250000</v>
      </c>
      <c r="AJ88" s="275">
        <v>250000</v>
      </c>
      <c r="AK88" s="275">
        <v>250000</v>
      </c>
      <c r="AL88" s="275">
        <v>250000</v>
      </c>
      <c r="AM88" s="275">
        <v>250000</v>
      </c>
      <c r="AN88" s="275">
        <v>3750000</v>
      </c>
      <c r="AO88" s="47"/>
      <c r="AP88" s="53">
        <f t="shared" si="40"/>
        <v>5000000</v>
      </c>
      <c r="AQ88" s="51"/>
      <c r="AR88" s="359">
        <f t="shared" si="10"/>
        <v>0</v>
      </c>
      <c r="AT88" s="55"/>
    </row>
    <row r="89" spans="1:46" s="36" customFormat="1" ht="15.75" x14ac:dyDescent="0.25">
      <c r="A89" s="185"/>
      <c r="B89" s="114" t="s">
        <v>883</v>
      </c>
      <c r="C89" s="432" t="s">
        <v>940</v>
      </c>
      <c r="D89" s="52" t="s">
        <v>45</v>
      </c>
      <c r="E89" s="422"/>
      <c r="F89" s="57"/>
      <c r="G89" s="52" t="s">
        <v>623</v>
      </c>
      <c r="H89" s="52" t="s">
        <v>320</v>
      </c>
      <c r="I89" s="432"/>
      <c r="J89" s="299">
        <v>44768</v>
      </c>
      <c r="K89" s="299">
        <v>44708</v>
      </c>
      <c r="L89" s="298">
        <v>44708</v>
      </c>
      <c r="M89" s="298">
        <v>44768</v>
      </c>
      <c r="N89" s="87">
        <f>L89+60</f>
        <v>44768</v>
      </c>
      <c r="O89" s="88">
        <f t="shared" si="36"/>
        <v>0</v>
      </c>
      <c r="P89" s="50">
        <f t="shared" si="41"/>
        <v>60</v>
      </c>
      <c r="Q89" s="50">
        <f t="shared" si="37"/>
        <v>60</v>
      </c>
      <c r="R89" s="52" t="s">
        <v>320</v>
      </c>
      <c r="S89" s="87">
        <v>44819</v>
      </c>
      <c r="T89" s="52">
        <f>S89+(12*4.3*7)</f>
        <v>45180.2</v>
      </c>
      <c r="U89" s="50">
        <v>4.0000000000000488</v>
      </c>
      <c r="V89" s="50">
        <f t="shared" si="42"/>
        <v>11.999999999999904</v>
      </c>
      <c r="W89" s="50"/>
      <c r="X89" s="52"/>
      <c r="Y89" s="50"/>
      <c r="Z89" s="53">
        <v>8000000</v>
      </c>
      <c r="AA89" s="211">
        <v>0</v>
      </c>
      <c r="AB89" s="211">
        <v>0</v>
      </c>
      <c r="AC89" s="211">
        <v>0</v>
      </c>
      <c r="AD89" s="211">
        <v>0</v>
      </c>
      <c r="AE89" s="58"/>
      <c r="AF89" s="89"/>
      <c r="AG89" s="89"/>
      <c r="AH89" s="89"/>
      <c r="AI89" s="89"/>
      <c r="AJ89" s="275">
        <v>250000</v>
      </c>
      <c r="AK89" s="275">
        <v>275000</v>
      </c>
      <c r="AL89" s="275">
        <v>275000</v>
      </c>
      <c r="AM89" s="275">
        <v>275000</v>
      </c>
      <c r="AN89" s="275">
        <v>6925000</v>
      </c>
      <c r="AO89" s="47"/>
      <c r="AP89" s="53">
        <f t="shared" si="40"/>
        <v>8000000</v>
      </c>
      <c r="AQ89" s="51"/>
      <c r="AR89" s="359">
        <f t="shared" si="10"/>
        <v>0</v>
      </c>
      <c r="AT89" s="55"/>
    </row>
    <row r="90" spans="1:46" s="36" customFormat="1" ht="15.75" x14ac:dyDescent="0.25">
      <c r="A90" s="185"/>
      <c r="B90" s="114" t="s">
        <v>894</v>
      </c>
      <c r="C90" s="432" t="s">
        <v>942</v>
      </c>
      <c r="D90" s="52" t="s">
        <v>45</v>
      </c>
      <c r="E90" s="422" t="s">
        <v>893</v>
      </c>
      <c r="F90" s="57"/>
      <c r="G90" s="52" t="s">
        <v>623</v>
      </c>
      <c r="H90" s="52" t="s">
        <v>320</v>
      </c>
      <c r="I90" s="432"/>
      <c r="J90" s="299">
        <v>44774</v>
      </c>
      <c r="K90" s="299">
        <v>44729</v>
      </c>
      <c r="L90" s="298">
        <v>44729</v>
      </c>
      <c r="M90" s="298">
        <v>44774</v>
      </c>
      <c r="N90" s="87">
        <f>L90+45</f>
        <v>44774</v>
      </c>
      <c r="O90" s="88">
        <f t="shared" si="36"/>
        <v>0</v>
      </c>
      <c r="P90" s="50">
        <f t="shared" si="41"/>
        <v>45</v>
      </c>
      <c r="Q90" s="50">
        <f t="shared" si="37"/>
        <v>45</v>
      </c>
      <c r="R90" s="52" t="s">
        <v>320</v>
      </c>
      <c r="S90" s="87">
        <f>N90</f>
        <v>44774</v>
      </c>
      <c r="T90" s="52">
        <f>S90+(12*4.3*7)</f>
        <v>45135.199999999997</v>
      </c>
      <c r="U90" s="50">
        <v>4.0000000000000488</v>
      </c>
      <c r="V90" s="50">
        <f t="shared" si="42"/>
        <v>11.999999999999904</v>
      </c>
      <c r="W90" s="50"/>
      <c r="X90" s="52"/>
      <c r="Y90" s="52">
        <v>44701</v>
      </c>
      <c r="Z90" s="53">
        <v>9600000</v>
      </c>
      <c r="AA90" s="211">
        <v>0</v>
      </c>
      <c r="AB90" s="211">
        <v>0</v>
      </c>
      <c r="AC90" s="211">
        <v>0</v>
      </c>
      <c r="AD90" s="211">
        <v>0</v>
      </c>
      <c r="AE90" s="58"/>
      <c r="AF90" s="89"/>
      <c r="AG90" s="89"/>
      <c r="AH90" s="89"/>
      <c r="AI90" s="89"/>
      <c r="AJ90" s="58"/>
      <c r="AK90" s="58"/>
      <c r="AL90" s="58"/>
      <c r="AM90" s="58"/>
      <c r="AN90" s="53">
        <v>9600000</v>
      </c>
      <c r="AO90" s="47"/>
      <c r="AP90" s="53">
        <f t="shared" si="40"/>
        <v>9600000</v>
      </c>
      <c r="AQ90" s="51"/>
      <c r="AR90" s="359">
        <f t="shared" ref="AR90:AR92" si="43">AP90-Z90</f>
        <v>0</v>
      </c>
      <c r="AT90" s="55"/>
    </row>
    <row r="91" spans="1:46" s="36" customFormat="1" ht="15.75" x14ac:dyDescent="0.25">
      <c r="A91" s="185"/>
      <c r="B91" s="114" t="s">
        <v>895</v>
      </c>
      <c r="C91" s="432"/>
      <c r="D91" s="52" t="s">
        <v>45</v>
      </c>
      <c r="E91" s="422" t="s">
        <v>893</v>
      </c>
      <c r="F91" s="57"/>
      <c r="G91" s="52" t="s">
        <v>623</v>
      </c>
      <c r="H91" s="52" t="s">
        <v>320</v>
      </c>
      <c r="I91" s="432"/>
      <c r="J91" s="299">
        <v>44816</v>
      </c>
      <c r="K91" s="299">
        <v>44696</v>
      </c>
      <c r="L91" s="298">
        <v>44696</v>
      </c>
      <c r="M91" s="298">
        <v>44816</v>
      </c>
      <c r="N91" s="87">
        <f>L91+120</f>
        <v>44816</v>
      </c>
      <c r="O91" s="88">
        <f t="shared" si="36"/>
        <v>0</v>
      </c>
      <c r="P91" s="50">
        <f t="shared" si="41"/>
        <v>120</v>
      </c>
      <c r="Q91" s="50">
        <f t="shared" si="37"/>
        <v>120</v>
      </c>
      <c r="R91" s="52" t="s">
        <v>320</v>
      </c>
      <c r="S91" s="87">
        <f t="shared" ref="S91:S93" si="44">N91</f>
        <v>44816</v>
      </c>
      <c r="T91" s="52">
        <f t="shared" ref="T91:T92" si="45">S91+(6*4.3*7)</f>
        <v>44996.6</v>
      </c>
      <c r="U91" s="50">
        <v>6</v>
      </c>
      <c r="V91" s="50">
        <f t="shared" si="42"/>
        <v>5.999999999999952</v>
      </c>
      <c r="W91" s="50"/>
      <c r="X91" s="52"/>
      <c r="Y91" s="52">
        <v>44741</v>
      </c>
      <c r="Z91" s="53">
        <v>1800000</v>
      </c>
      <c r="AA91" s="211">
        <v>0</v>
      </c>
      <c r="AB91" s="211">
        <v>0</v>
      </c>
      <c r="AC91" s="211">
        <v>0</v>
      </c>
      <c r="AD91" s="211">
        <v>0</v>
      </c>
      <c r="AE91" s="58"/>
      <c r="AF91" s="89"/>
      <c r="AG91" s="89"/>
      <c r="AH91" s="89"/>
      <c r="AI91" s="89"/>
      <c r="AJ91" s="58"/>
      <c r="AK91" s="58"/>
      <c r="AL91" s="58"/>
      <c r="AM91" s="58"/>
      <c r="AN91" s="53">
        <v>1800000</v>
      </c>
      <c r="AO91" s="47"/>
      <c r="AP91" s="53">
        <f t="shared" si="40"/>
        <v>1800000</v>
      </c>
      <c r="AQ91" s="51"/>
      <c r="AR91" s="359">
        <f t="shared" si="43"/>
        <v>0</v>
      </c>
      <c r="AT91" s="55"/>
    </row>
    <row r="92" spans="1:46" s="36" customFormat="1" ht="15.75" x14ac:dyDescent="0.25">
      <c r="A92" s="185"/>
      <c r="B92" s="114" t="s">
        <v>933</v>
      </c>
      <c r="C92" s="432"/>
      <c r="D92" s="52" t="s">
        <v>45</v>
      </c>
      <c r="E92" s="422" t="s">
        <v>892</v>
      </c>
      <c r="F92" s="57" t="s">
        <v>934</v>
      </c>
      <c r="G92" s="52" t="s">
        <v>623</v>
      </c>
      <c r="H92" s="52" t="s">
        <v>320</v>
      </c>
      <c r="I92" s="432"/>
      <c r="J92" s="299">
        <v>44733</v>
      </c>
      <c r="K92" s="299">
        <v>44698</v>
      </c>
      <c r="L92" s="298">
        <v>44698</v>
      </c>
      <c r="M92" s="298">
        <v>44743</v>
      </c>
      <c r="N92" s="87">
        <f>L92+45</f>
        <v>44743</v>
      </c>
      <c r="O92" s="88">
        <f t="shared" si="36"/>
        <v>10</v>
      </c>
      <c r="P92" s="50">
        <f t="shared" si="41"/>
        <v>45</v>
      </c>
      <c r="Q92" s="50">
        <f t="shared" si="37"/>
        <v>45</v>
      </c>
      <c r="R92" s="52" t="s">
        <v>320</v>
      </c>
      <c r="S92" s="87">
        <f t="shared" si="44"/>
        <v>44743</v>
      </c>
      <c r="T92" s="52">
        <f t="shared" si="45"/>
        <v>44923.6</v>
      </c>
      <c r="U92" s="50">
        <v>6</v>
      </c>
      <c r="V92" s="50">
        <f t="shared" si="42"/>
        <v>5.999999999999952</v>
      </c>
      <c r="W92" s="50"/>
      <c r="X92" s="52"/>
      <c r="Y92" s="50"/>
      <c r="Z92" s="53">
        <v>3200000</v>
      </c>
      <c r="AA92" s="211">
        <v>0</v>
      </c>
      <c r="AB92" s="211">
        <v>0</v>
      </c>
      <c r="AC92" s="211">
        <v>0</v>
      </c>
      <c r="AD92" s="211">
        <v>0</v>
      </c>
      <c r="AE92" s="58"/>
      <c r="AF92" s="89"/>
      <c r="AG92" s="89"/>
      <c r="AH92" s="89"/>
      <c r="AI92" s="89"/>
      <c r="AJ92" s="58"/>
      <c r="AK92" s="58"/>
      <c r="AL92" s="58"/>
      <c r="AM92" s="58"/>
      <c r="AN92" s="53">
        <v>3200000</v>
      </c>
      <c r="AO92" s="47"/>
      <c r="AP92" s="53">
        <f t="shared" si="40"/>
        <v>3200000</v>
      </c>
      <c r="AQ92" s="51"/>
      <c r="AR92" s="359">
        <f t="shared" si="43"/>
        <v>0</v>
      </c>
      <c r="AT92" s="55"/>
    </row>
    <row r="93" spans="1:46" s="36" customFormat="1" ht="15.75" x14ac:dyDescent="0.25">
      <c r="A93" s="185"/>
      <c r="B93" s="114" t="s">
        <v>943</v>
      </c>
      <c r="C93" s="432"/>
      <c r="D93" s="52" t="s">
        <v>45</v>
      </c>
      <c r="E93" s="422" t="s">
        <v>892</v>
      </c>
      <c r="F93" s="57"/>
      <c r="G93" s="52" t="s">
        <v>623</v>
      </c>
      <c r="H93" s="52" t="s">
        <v>320</v>
      </c>
      <c r="I93" s="432"/>
      <c r="J93" s="298">
        <v>44704</v>
      </c>
      <c r="K93" s="298">
        <v>44680</v>
      </c>
      <c r="L93" s="298">
        <v>44680</v>
      </c>
      <c r="M93" s="298">
        <v>44710</v>
      </c>
      <c r="N93" s="87">
        <f>L93+30</f>
        <v>44710</v>
      </c>
      <c r="O93" s="88">
        <f t="shared" si="36"/>
        <v>6</v>
      </c>
      <c r="P93" s="50">
        <f t="shared" si="41"/>
        <v>30</v>
      </c>
      <c r="Q93" s="50">
        <f t="shared" si="37"/>
        <v>30</v>
      </c>
      <c r="R93" s="52" t="s">
        <v>320</v>
      </c>
      <c r="S93" s="87">
        <f t="shared" si="44"/>
        <v>44710</v>
      </c>
      <c r="T93" s="52">
        <v>44834</v>
      </c>
      <c r="U93" s="50">
        <v>4</v>
      </c>
      <c r="V93" s="50">
        <f t="shared" si="42"/>
        <v>4.1196013289036548</v>
      </c>
      <c r="W93" s="50"/>
      <c r="X93" s="52"/>
      <c r="Y93" s="50"/>
      <c r="Z93" s="53">
        <v>1500000</v>
      </c>
      <c r="AA93" s="211">
        <v>0</v>
      </c>
      <c r="AB93" s="211">
        <v>0</v>
      </c>
      <c r="AC93" s="211">
        <v>0</v>
      </c>
      <c r="AD93" s="211">
        <v>0</v>
      </c>
      <c r="AE93" s="58"/>
      <c r="AF93" s="58"/>
      <c r="AG93" s="58"/>
      <c r="AH93" s="58"/>
      <c r="AI93" s="58"/>
      <c r="AJ93" s="58"/>
      <c r="AK93" s="58"/>
      <c r="AL93" s="58"/>
      <c r="AM93" s="58"/>
      <c r="AN93" s="53">
        <v>1500000</v>
      </c>
      <c r="AO93" s="47"/>
      <c r="AP93" s="53">
        <f t="shared" si="40"/>
        <v>1500000</v>
      </c>
      <c r="AQ93" s="51"/>
      <c r="AR93" s="359">
        <f>AP93-Z93</f>
        <v>0</v>
      </c>
    </row>
    <row r="94" spans="1:46" s="36" customFormat="1" ht="15.75" x14ac:dyDescent="0.25">
      <c r="A94" s="99"/>
      <c r="B94" s="100"/>
      <c r="C94" s="429"/>
      <c r="D94" s="445"/>
      <c r="E94" s="446"/>
      <c r="F94" s="100"/>
      <c r="G94" s="91"/>
      <c r="H94" s="91"/>
      <c r="I94" s="429"/>
      <c r="J94" s="91"/>
      <c r="K94" s="91"/>
      <c r="L94" s="91"/>
      <c r="M94" s="91"/>
      <c r="N94" s="91"/>
      <c r="O94" s="92"/>
      <c r="P94" s="91"/>
      <c r="Q94" s="92"/>
      <c r="R94" s="91"/>
      <c r="S94" s="91"/>
      <c r="T94" s="91"/>
      <c r="U94" s="92"/>
      <c r="V94" s="92"/>
      <c r="W94" s="92"/>
      <c r="X94" s="91"/>
      <c r="Y94" s="92"/>
      <c r="Z94" s="59">
        <f t="shared" ref="Z94:AN94" si="46">SUBTOTAL(9,Z25:Z93)</f>
        <v>118307646.02000001</v>
      </c>
      <c r="AA94" s="243">
        <f t="shared" si="46"/>
        <v>22043587.409999996</v>
      </c>
      <c r="AB94" s="243">
        <f t="shared" si="46"/>
        <v>1989056.8699999996</v>
      </c>
      <c r="AC94" s="243">
        <f t="shared" si="46"/>
        <v>3631778.7800000003</v>
      </c>
      <c r="AD94" s="59">
        <f t="shared" si="46"/>
        <v>2797000.19</v>
      </c>
      <c r="AE94" s="59">
        <f t="shared" si="46"/>
        <v>4518923.3900000006</v>
      </c>
      <c r="AF94" s="59">
        <f t="shared" si="46"/>
        <v>4981441.51</v>
      </c>
      <c r="AG94" s="59">
        <f t="shared" si="46"/>
        <v>5213777.63</v>
      </c>
      <c r="AH94" s="59">
        <f t="shared" si="46"/>
        <v>4974511.41</v>
      </c>
      <c r="AI94" s="59">
        <f t="shared" si="46"/>
        <v>5135000</v>
      </c>
      <c r="AJ94" s="59">
        <f t="shared" si="46"/>
        <v>6107660.5199999996</v>
      </c>
      <c r="AK94" s="59">
        <f t="shared" si="46"/>
        <v>4902821</v>
      </c>
      <c r="AL94" s="59">
        <f t="shared" si="46"/>
        <v>4465036.41</v>
      </c>
      <c r="AM94" s="59">
        <f t="shared" si="46"/>
        <v>4411228.8899999997</v>
      </c>
      <c r="AN94" s="59">
        <f t="shared" si="46"/>
        <v>42755551</v>
      </c>
      <c r="AO94" s="47"/>
      <c r="AP94" s="59">
        <f>SUBTOTAL(9,AP25:AP93)</f>
        <v>117927375.00999999</v>
      </c>
      <c r="AQ94" s="51"/>
      <c r="AR94" s="359">
        <f>AP94-Z94</f>
        <v>-380271.01000002027</v>
      </c>
      <c r="AS94" s="55"/>
    </row>
    <row r="95" spans="1:46" s="36" customFormat="1" ht="16.5" thickBot="1" x14ac:dyDescent="0.3">
      <c r="A95" s="34"/>
      <c r="B95" s="35"/>
      <c r="C95" s="422"/>
      <c r="D95" s="474"/>
      <c r="E95" s="464"/>
      <c r="F95" s="35"/>
      <c r="G95" s="52"/>
      <c r="H95" s="52"/>
      <c r="I95" s="422"/>
      <c r="J95" s="52"/>
      <c r="K95" s="52"/>
      <c r="L95" s="52"/>
      <c r="M95" s="52"/>
      <c r="N95" s="52"/>
      <c r="O95" s="50"/>
      <c r="P95" s="52"/>
      <c r="Q95" s="50"/>
      <c r="R95" s="52"/>
      <c r="S95" s="52"/>
      <c r="T95" s="141"/>
      <c r="U95" s="142"/>
      <c r="V95" s="142"/>
      <c r="W95" s="142"/>
      <c r="X95" s="141"/>
      <c r="Y95" s="142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4"/>
      <c r="AP95" s="143"/>
      <c r="AQ95" s="145"/>
      <c r="AR95" s="359">
        <f>AP95-Z95</f>
        <v>0</v>
      </c>
    </row>
    <row r="96" spans="1:46" s="36" customFormat="1" ht="16.5" thickBot="1" x14ac:dyDescent="0.3">
      <c r="C96" s="37"/>
      <c r="D96" s="480"/>
      <c r="E96" s="473"/>
      <c r="G96" s="37"/>
      <c r="H96" s="37"/>
      <c r="I96" s="37"/>
      <c r="J96" s="37"/>
      <c r="K96" s="37"/>
      <c r="L96" s="293"/>
      <c r="M96" s="293"/>
      <c r="N96" s="293"/>
      <c r="O96" s="38"/>
      <c r="P96" s="293"/>
      <c r="Q96" s="38"/>
      <c r="R96" s="37"/>
      <c r="S96" s="37"/>
      <c r="T96" s="338"/>
      <c r="U96" s="441"/>
      <c r="V96" s="148" t="s">
        <v>445</v>
      </c>
      <c r="W96" s="148"/>
      <c r="X96" s="494"/>
      <c r="Y96" s="148"/>
      <c r="Z96" s="149">
        <f>SUBTOTAL(9,Z4:Z94)</f>
        <v>130847327.45</v>
      </c>
      <c r="AA96" s="149">
        <f>SUBTOTAL(9,AA4:AA94)</f>
        <v>26338345.969999995</v>
      </c>
      <c r="AB96" s="149">
        <f>SUBTOTAL(9,AB4:AB94)</f>
        <v>2519382.6599999997</v>
      </c>
      <c r="AC96" s="149">
        <f>SUBTOTAL(9,AC4:AC94)</f>
        <v>4593266.3600000003</v>
      </c>
      <c r="AD96" s="149">
        <f>SUBTOTAL(9,AD4:AD94)</f>
        <v>4034206.100000001</v>
      </c>
      <c r="AE96" s="149">
        <v>5161679</v>
      </c>
      <c r="AF96" s="149">
        <v>5799709</v>
      </c>
      <c r="AG96" s="149">
        <v>5992605</v>
      </c>
      <c r="AH96" s="149">
        <v>5940000</v>
      </c>
      <c r="AI96" s="149">
        <v>6300000</v>
      </c>
      <c r="AJ96" s="149">
        <v>5992200</v>
      </c>
      <c r="AK96" s="149">
        <v>5492435</v>
      </c>
      <c r="AL96" s="149">
        <v>6248440</v>
      </c>
      <c r="AM96" s="149">
        <v>5475600</v>
      </c>
      <c r="AN96" s="149">
        <f>SUBTOTAL(9,AN4:AN94)</f>
        <v>42805551</v>
      </c>
      <c r="AO96" s="150"/>
      <c r="AP96" s="149">
        <f>SUBTOTAL(9,AP4:AP94)</f>
        <v>129997674.67</v>
      </c>
      <c r="AQ96" s="153"/>
      <c r="AR96" s="359">
        <f>AP96-Z96</f>
        <v>-849652.78000000119</v>
      </c>
      <c r="AS96" s="55"/>
    </row>
    <row r="97" spans="1:46" s="90" customFormat="1" ht="15.75" x14ac:dyDescent="0.25">
      <c r="C97" s="122"/>
      <c r="D97" s="473"/>
      <c r="E97" s="473"/>
      <c r="G97" s="122"/>
      <c r="H97" s="122"/>
      <c r="I97" s="122"/>
      <c r="J97" s="122"/>
      <c r="K97" s="122"/>
      <c r="L97" s="295"/>
      <c r="M97" s="295"/>
      <c r="N97" s="295"/>
      <c r="O97" s="296"/>
      <c r="P97" s="295"/>
      <c r="Q97" s="296"/>
      <c r="R97" s="122"/>
      <c r="S97" s="122"/>
      <c r="T97" s="123"/>
      <c r="U97" s="442"/>
      <c r="V97" s="124"/>
      <c r="W97" s="124"/>
      <c r="X97" s="293"/>
      <c r="Y97" s="124"/>
      <c r="Z97" s="124" t="s">
        <v>405</v>
      </c>
      <c r="AA97" s="128"/>
      <c r="AB97" s="128">
        <v>3086105</v>
      </c>
      <c r="AC97" s="128">
        <v>3235500</v>
      </c>
      <c r="AD97" s="128">
        <v>4441510</v>
      </c>
      <c r="AE97" s="128">
        <v>6000000</v>
      </c>
      <c r="AF97" s="128">
        <v>6825000</v>
      </c>
      <c r="AG97" s="128">
        <v>7100000</v>
      </c>
      <c r="AH97" s="128">
        <v>7100000</v>
      </c>
      <c r="AI97" s="128">
        <v>7000000</v>
      </c>
      <c r="AJ97" s="128">
        <v>6500000</v>
      </c>
      <c r="AK97" s="128">
        <v>6500000</v>
      </c>
      <c r="AL97" s="128">
        <v>6500000</v>
      </c>
      <c r="AM97" s="128">
        <v>6500000</v>
      </c>
      <c r="AN97" s="128">
        <v>80000000</v>
      </c>
      <c r="AO97" s="146"/>
      <c r="AP97" s="125"/>
      <c r="AQ97" s="126"/>
      <c r="AR97" s="360"/>
    </row>
    <row r="98" spans="1:46" ht="15.75" x14ac:dyDescent="0.25">
      <c r="D98" s="473"/>
      <c r="E98" s="473"/>
      <c r="T98" s="75"/>
      <c r="U98" s="442"/>
      <c r="Z98" s="38" t="s">
        <v>406</v>
      </c>
      <c r="AA98" s="128"/>
      <c r="AB98" s="128">
        <f t="shared" ref="AB98:AN98" si="47">AB96-AB97</f>
        <v>-566722.34000000032</v>
      </c>
      <c r="AC98" s="128">
        <f t="shared" si="47"/>
        <v>1357766.3600000003</v>
      </c>
      <c r="AD98" s="128">
        <f t="shared" si="47"/>
        <v>-407303.89999999898</v>
      </c>
      <c r="AE98" s="128">
        <f t="shared" si="47"/>
        <v>-838321</v>
      </c>
      <c r="AF98" s="128">
        <f t="shared" si="47"/>
        <v>-1025291</v>
      </c>
      <c r="AG98" s="128">
        <f t="shared" si="47"/>
        <v>-1107395</v>
      </c>
      <c r="AH98" s="128">
        <f t="shared" si="47"/>
        <v>-1160000</v>
      </c>
      <c r="AI98" s="128">
        <f t="shared" si="47"/>
        <v>-700000</v>
      </c>
      <c r="AJ98" s="128">
        <f t="shared" si="47"/>
        <v>-507800</v>
      </c>
      <c r="AK98" s="128">
        <f t="shared" si="47"/>
        <v>-1007565</v>
      </c>
      <c r="AL98" s="128">
        <f t="shared" si="47"/>
        <v>-251560</v>
      </c>
      <c r="AM98" s="128">
        <f t="shared" si="47"/>
        <v>-1024400</v>
      </c>
      <c r="AN98" s="128">
        <f t="shared" si="47"/>
        <v>-37194449</v>
      </c>
      <c r="AO98" s="47"/>
      <c r="AP98" s="76"/>
      <c r="AQ98" s="77"/>
      <c r="AR98" s="360"/>
    </row>
    <row r="99" spans="1:46" ht="15.75" x14ac:dyDescent="0.25">
      <c r="D99" s="473"/>
      <c r="E99" s="473"/>
      <c r="Z99" s="3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379">
        <v>2021</v>
      </c>
      <c r="AN99" s="130">
        <v>45000000</v>
      </c>
      <c r="AO99" s="47"/>
      <c r="AR99" s="360"/>
    </row>
    <row r="100" spans="1:46" s="36" customFormat="1" ht="15.75" x14ac:dyDescent="0.25">
      <c r="A100" s="106" t="s">
        <v>938</v>
      </c>
      <c r="B100" s="381"/>
      <c r="C100" s="101"/>
      <c r="D100" s="445"/>
      <c r="E100" s="445"/>
      <c r="F100" s="381"/>
      <c r="G100" s="102"/>
      <c r="H100" s="102"/>
      <c r="I100" s="101"/>
      <c r="J100" s="102"/>
      <c r="K100" s="102"/>
      <c r="L100" s="276"/>
      <c r="M100" s="276"/>
      <c r="N100" s="276"/>
      <c r="O100" s="84"/>
      <c r="P100" s="276"/>
      <c r="Q100" s="84"/>
      <c r="R100" s="102"/>
      <c r="S100" s="102"/>
      <c r="T100" s="102"/>
      <c r="U100" s="84"/>
      <c r="V100" s="84"/>
      <c r="W100" s="84"/>
      <c r="X100" s="276"/>
      <c r="Y100" s="84"/>
      <c r="Z100" s="19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47"/>
      <c r="AP100" s="85"/>
      <c r="AQ100" s="51"/>
      <c r="AR100" s="359">
        <f t="shared" ref="AR100:AR106" si="48">AP100-Z100</f>
        <v>0</v>
      </c>
    </row>
    <row r="101" spans="1:46" s="36" customFormat="1" ht="15.75" x14ac:dyDescent="0.25">
      <c r="A101" s="319" t="s">
        <v>65</v>
      </c>
      <c r="B101" s="319" t="s">
        <v>531</v>
      </c>
      <c r="C101" s="425" t="s">
        <v>812</v>
      </c>
      <c r="D101" s="321" t="s">
        <v>873</v>
      </c>
      <c r="E101" s="321" t="s">
        <v>24</v>
      </c>
      <c r="F101" s="319" t="s">
        <v>67</v>
      </c>
      <c r="G101" s="321" t="s">
        <v>46</v>
      </c>
      <c r="H101" s="321">
        <v>43979</v>
      </c>
      <c r="I101" s="425"/>
      <c r="J101" s="332" t="s">
        <v>370</v>
      </c>
      <c r="K101" s="321">
        <v>43929</v>
      </c>
      <c r="L101" s="332">
        <v>43929</v>
      </c>
      <c r="M101" s="339">
        <v>44004</v>
      </c>
      <c r="N101" s="332">
        <v>44004</v>
      </c>
      <c r="O101" s="343" t="e">
        <f t="shared" ref="O101:O106" si="49">N101-J101</f>
        <v>#VALUE!</v>
      </c>
      <c r="P101" s="371">
        <f t="shared" ref="P101:Q106" si="50">M101-K101</f>
        <v>75</v>
      </c>
      <c r="Q101" s="343">
        <f t="shared" si="50"/>
        <v>75</v>
      </c>
      <c r="R101" s="321" t="s">
        <v>370</v>
      </c>
      <c r="S101" s="332">
        <v>44004</v>
      </c>
      <c r="T101" s="321">
        <v>44469</v>
      </c>
      <c r="U101" s="322">
        <v>15</v>
      </c>
      <c r="V101" s="322">
        <f>((T101-S101)/7)/4.3</f>
        <v>15.448504983388705</v>
      </c>
      <c r="W101" s="322"/>
      <c r="X101" s="321"/>
      <c r="Y101" s="322" t="s">
        <v>370</v>
      </c>
      <c r="Z101" s="323">
        <v>2482029.5100000002</v>
      </c>
      <c r="AA101" s="211">
        <v>2482029.5099999998</v>
      </c>
      <c r="AB101" s="115">
        <v>0</v>
      </c>
      <c r="AC101" s="115">
        <v>0</v>
      </c>
      <c r="AD101" s="115">
        <v>0</v>
      </c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47"/>
      <c r="AP101" s="53">
        <f t="shared" ref="AP101:AP106" si="51">SUM(AA101:AO101)</f>
        <v>2482029.5099999998</v>
      </c>
      <c r="AQ101" s="51"/>
      <c r="AR101" s="359">
        <f t="shared" si="48"/>
        <v>0</v>
      </c>
    </row>
    <row r="102" spans="1:46" s="36" customFormat="1" ht="15.75" x14ac:dyDescent="0.25">
      <c r="A102" s="319" t="s">
        <v>383</v>
      </c>
      <c r="B102" s="319" t="s">
        <v>384</v>
      </c>
      <c r="C102" s="428" t="s">
        <v>91</v>
      </c>
      <c r="D102" s="321" t="s">
        <v>873</v>
      </c>
      <c r="E102" s="321" t="s">
        <v>24</v>
      </c>
      <c r="F102" s="369" t="s">
        <v>89</v>
      </c>
      <c r="G102" s="321" t="s">
        <v>46</v>
      </c>
      <c r="H102" s="321">
        <v>44287</v>
      </c>
      <c r="I102" s="428"/>
      <c r="J102" s="332" t="s">
        <v>370</v>
      </c>
      <c r="K102" s="321">
        <v>44071</v>
      </c>
      <c r="L102" s="332">
        <v>44071</v>
      </c>
      <c r="M102" s="339">
        <v>44260</v>
      </c>
      <c r="N102" s="332">
        <v>44260</v>
      </c>
      <c r="O102" s="343" t="e">
        <f t="shared" si="49"/>
        <v>#VALUE!</v>
      </c>
      <c r="P102" s="371">
        <f t="shared" si="50"/>
        <v>189</v>
      </c>
      <c r="Q102" s="343">
        <f t="shared" si="50"/>
        <v>189</v>
      </c>
      <c r="R102" s="321" t="s">
        <v>370</v>
      </c>
      <c r="S102" s="332">
        <v>44290</v>
      </c>
      <c r="T102" s="321">
        <v>44484</v>
      </c>
      <c r="U102" s="322">
        <v>6</v>
      </c>
      <c r="V102" s="322">
        <f>((T102-S102)/7)/4.3</f>
        <v>6.4451827242524926</v>
      </c>
      <c r="W102" s="322"/>
      <c r="X102" s="321"/>
      <c r="Y102" s="322" t="s">
        <v>370</v>
      </c>
      <c r="Z102" s="323">
        <v>712367.42999999993</v>
      </c>
      <c r="AA102" s="211">
        <v>712367.42999999993</v>
      </c>
      <c r="AB102" s="115">
        <v>0</v>
      </c>
      <c r="AC102" s="115">
        <v>0</v>
      </c>
      <c r="AD102" s="115">
        <v>0</v>
      </c>
      <c r="AE102" s="58"/>
      <c r="AF102" s="58"/>
      <c r="AG102" s="58"/>
      <c r="AH102" s="58"/>
      <c r="AI102" s="58"/>
      <c r="AJ102" s="58"/>
      <c r="AK102" s="58"/>
      <c r="AL102" s="58"/>
      <c r="AM102" s="58"/>
      <c r="AN102" s="53"/>
      <c r="AO102" s="47"/>
      <c r="AP102" s="53">
        <f t="shared" si="51"/>
        <v>712367.42999999993</v>
      </c>
      <c r="AQ102" s="51"/>
      <c r="AR102" s="359">
        <f t="shared" si="48"/>
        <v>0</v>
      </c>
      <c r="AT102" s="55"/>
    </row>
    <row r="103" spans="1:46" s="36" customFormat="1" ht="15.75" x14ac:dyDescent="0.25">
      <c r="A103" s="319" t="s">
        <v>92</v>
      </c>
      <c r="B103" s="319" t="s">
        <v>543</v>
      </c>
      <c r="C103" s="428" t="s">
        <v>95</v>
      </c>
      <c r="D103" s="321" t="s">
        <v>873</v>
      </c>
      <c r="E103" s="321" t="s">
        <v>24</v>
      </c>
      <c r="F103" s="319" t="s">
        <v>94</v>
      </c>
      <c r="G103" s="321" t="s">
        <v>46</v>
      </c>
      <c r="H103" s="321" t="s">
        <v>370</v>
      </c>
      <c r="I103" s="428"/>
      <c r="J103" s="332" t="s">
        <v>370</v>
      </c>
      <c r="K103" s="321">
        <v>44120</v>
      </c>
      <c r="L103" s="332">
        <v>44120</v>
      </c>
      <c r="M103" s="339">
        <v>44246</v>
      </c>
      <c r="N103" s="332">
        <v>44246</v>
      </c>
      <c r="O103" s="343" t="e">
        <f t="shared" si="49"/>
        <v>#VALUE!</v>
      </c>
      <c r="P103" s="371">
        <f t="shared" si="50"/>
        <v>126</v>
      </c>
      <c r="Q103" s="343">
        <f t="shared" si="50"/>
        <v>126</v>
      </c>
      <c r="R103" s="321" t="s">
        <v>370</v>
      </c>
      <c r="S103" s="332">
        <v>44256</v>
      </c>
      <c r="T103" s="321">
        <v>44557</v>
      </c>
      <c r="U103" s="322">
        <v>10</v>
      </c>
      <c r="V103" s="322">
        <f>((T103-S103)/7)/4.3</f>
        <v>10</v>
      </c>
      <c r="W103" s="322"/>
      <c r="X103" s="321"/>
      <c r="Y103" s="322" t="s">
        <v>370</v>
      </c>
      <c r="Z103" s="323">
        <v>1436404.19</v>
      </c>
      <c r="AA103" s="211">
        <v>1436404.19</v>
      </c>
      <c r="AB103" s="115">
        <v>0</v>
      </c>
      <c r="AC103" s="115">
        <v>0</v>
      </c>
      <c r="AD103" s="115">
        <v>0</v>
      </c>
      <c r="AE103" s="58"/>
      <c r="AF103" s="58"/>
      <c r="AG103" s="58"/>
      <c r="AH103" s="58"/>
      <c r="AI103" s="58"/>
      <c r="AJ103" s="58"/>
      <c r="AK103" s="58"/>
      <c r="AL103" s="58"/>
      <c r="AM103" s="58"/>
      <c r="AN103" s="53"/>
      <c r="AO103" s="47"/>
      <c r="AP103" s="53">
        <f t="shared" si="51"/>
        <v>1436404.19</v>
      </c>
      <c r="AQ103" s="51"/>
      <c r="AR103" s="359">
        <f t="shared" si="48"/>
        <v>0</v>
      </c>
      <c r="AT103" s="55"/>
    </row>
    <row r="104" spans="1:46" s="36" customFormat="1" ht="15.75" x14ac:dyDescent="0.25">
      <c r="A104" s="319" t="s">
        <v>96</v>
      </c>
      <c r="B104" s="319" t="s">
        <v>97</v>
      </c>
      <c r="C104" s="428" t="s">
        <v>95</v>
      </c>
      <c r="D104" s="321" t="s">
        <v>873</v>
      </c>
      <c r="E104" s="321" t="s">
        <v>24</v>
      </c>
      <c r="F104" s="319" t="s">
        <v>98</v>
      </c>
      <c r="G104" s="321" t="s">
        <v>46</v>
      </c>
      <c r="H104" s="321">
        <v>44215</v>
      </c>
      <c r="I104" s="428"/>
      <c r="J104" s="332" t="s">
        <v>370</v>
      </c>
      <c r="K104" s="321">
        <v>44168</v>
      </c>
      <c r="L104" s="332">
        <v>44168</v>
      </c>
      <c r="M104" s="339">
        <v>44280</v>
      </c>
      <c r="N104" s="332">
        <v>44280</v>
      </c>
      <c r="O104" s="343" t="e">
        <f t="shared" si="49"/>
        <v>#VALUE!</v>
      </c>
      <c r="P104" s="371">
        <f t="shared" si="50"/>
        <v>112</v>
      </c>
      <c r="Q104" s="343">
        <f t="shared" si="50"/>
        <v>112</v>
      </c>
      <c r="R104" s="321" t="s">
        <v>370</v>
      </c>
      <c r="S104" s="332">
        <v>44284</v>
      </c>
      <c r="T104" s="321">
        <v>44524.800000000003</v>
      </c>
      <c r="U104" s="322">
        <v>8</v>
      </c>
      <c r="V104" s="322">
        <f>((T104-S104)/7)/4.3</f>
        <v>8.0000000000000977</v>
      </c>
      <c r="W104" s="322"/>
      <c r="X104" s="321"/>
      <c r="Y104" s="322" t="s">
        <v>370</v>
      </c>
      <c r="Z104" s="323">
        <v>648252.98</v>
      </c>
      <c r="AA104" s="211">
        <v>648252.97999999986</v>
      </c>
      <c r="AB104" s="115">
        <v>0</v>
      </c>
      <c r="AC104" s="115">
        <v>0</v>
      </c>
      <c r="AD104" s="115">
        <v>0</v>
      </c>
      <c r="AE104" s="58"/>
      <c r="AF104" s="58"/>
      <c r="AG104" s="58"/>
      <c r="AH104" s="58"/>
      <c r="AI104" s="58"/>
      <c r="AJ104" s="58"/>
      <c r="AK104" s="58"/>
      <c r="AL104" s="58"/>
      <c r="AM104" s="58"/>
      <c r="AN104" s="53"/>
      <c r="AO104" s="47"/>
      <c r="AP104" s="53">
        <f t="shared" si="51"/>
        <v>648252.97999999986</v>
      </c>
      <c r="AQ104" s="51"/>
      <c r="AR104" s="359">
        <f t="shared" si="48"/>
        <v>0</v>
      </c>
      <c r="AT104" s="55"/>
    </row>
    <row r="105" spans="1:46" s="36" customFormat="1" ht="15.75" x14ac:dyDescent="0.25">
      <c r="A105" s="319" t="s">
        <v>99</v>
      </c>
      <c r="B105" s="319" t="s">
        <v>100</v>
      </c>
      <c r="C105" s="428" t="s">
        <v>95</v>
      </c>
      <c r="D105" s="321" t="s">
        <v>873</v>
      </c>
      <c r="E105" s="321" t="s">
        <v>24</v>
      </c>
      <c r="F105" s="319" t="s">
        <v>101</v>
      </c>
      <c r="G105" s="321" t="s">
        <v>46</v>
      </c>
      <c r="H105" s="321">
        <v>44215</v>
      </c>
      <c r="I105" s="428"/>
      <c r="J105" s="332" t="s">
        <v>370</v>
      </c>
      <c r="K105" s="321">
        <v>44168</v>
      </c>
      <c r="L105" s="332">
        <v>44168</v>
      </c>
      <c r="M105" s="339">
        <v>44280</v>
      </c>
      <c r="N105" s="332">
        <v>44280</v>
      </c>
      <c r="O105" s="343" t="e">
        <f t="shared" si="49"/>
        <v>#VALUE!</v>
      </c>
      <c r="P105" s="371">
        <f t="shared" si="50"/>
        <v>112</v>
      </c>
      <c r="Q105" s="343">
        <f t="shared" si="50"/>
        <v>112</v>
      </c>
      <c r="R105" s="321" t="s">
        <v>370</v>
      </c>
      <c r="S105" s="332">
        <v>44284</v>
      </c>
      <c r="T105" s="321">
        <v>44524</v>
      </c>
      <c r="U105" s="322">
        <v>8</v>
      </c>
      <c r="V105" s="322">
        <f>((T105-S105)/7)/4.3</f>
        <v>7.9734219269102988</v>
      </c>
      <c r="W105" s="322"/>
      <c r="X105" s="321"/>
      <c r="Y105" s="322" t="s">
        <v>370</v>
      </c>
      <c r="Z105" s="323">
        <v>400186.6</v>
      </c>
      <c r="AA105" s="211">
        <v>400186.6</v>
      </c>
      <c r="AB105" s="115">
        <v>0</v>
      </c>
      <c r="AC105" s="115">
        <v>0</v>
      </c>
      <c r="AD105" s="115">
        <v>0</v>
      </c>
      <c r="AE105" s="58"/>
      <c r="AF105" s="58"/>
      <c r="AG105" s="58"/>
      <c r="AH105" s="58"/>
      <c r="AI105" s="58"/>
      <c r="AJ105" s="58"/>
      <c r="AK105" s="58"/>
      <c r="AL105" s="58"/>
      <c r="AM105" s="58"/>
      <c r="AN105" s="53"/>
      <c r="AO105" s="47"/>
      <c r="AP105" s="53">
        <f t="shared" si="51"/>
        <v>400186.6</v>
      </c>
      <c r="AQ105" s="51"/>
      <c r="AR105" s="359">
        <f t="shared" si="48"/>
        <v>0</v>
      </c>
      <c r="AT105" s="55"/>
    </row>
    <row r="106" spans="1:46" s="36" customFormat="1" ht="15.75" x14ac:dyDescent="0.25">
      <c r="A106" s="185" t="s">
        <v>800</v>
      </c>
      <c r="B106" s="113" t="s">
        <v>937</v>
      </c>
      <c r="C106" s="434" t="s">
        <v>811</v>
      </c>
      <c r="D106" s="52" t="s">
        <v>873</v>
      </c>
      <c r="E106" s="52" t="s">
        <v>890</v>
      </c>
      <c r="F106" s="56" t="s">
        <v>862</v>
      </c>
      <c r="G106" s="52" t="s">
        <v>623</v>
      </c>
      <c r="H106" s="52" t="s">
        <v>320</v>
      </c>
      <c r="I106" s="434"/>
      <c r="J106" s="329">
        <v>44566</v>
      </c>
      <c r="K106" s="52"/>
      <c r="L106" s="87"/>
      <c r="M106" s="87"/>
      <c r="N106" s="87"/>
      <c r="O106" s="88">
        <f t="shared" si="49"/>
        <v>-44566</v>
      </c>
      <c r="P106" s="50">
        <f t="shared" si="50"/>
        <v>0</v>
      </c>
      <c r="Q106" s="50">
        <f t="shared" si="50"/>
        <v>0</v>
      </c>
      <c r="R106" s="52" t="s">
        <v>320</v>
      </c>
      <c r="S106" s="52"/>
      <c r="T106" s="52"/>
      <c r="U106" s="50"/>
      <c r="V106" s="378"/>
      <c r="W106" s="50"/>
      <c r="X106" s="52"/>
      <c r="Y106" s="50"/>
      <c r="Z106" s="53"/>
      <c r="AA106" s="211">
        <v>0</v>
      </c>
      <c r="AB106" s="115">
        <v>0</v>
      </c>
      <c r="AC106" s="115">
        <v>0</v>
      </c>
      <c r="AD106" s="115">
        <v>0</v>
      </c>
      <c r="AE106" s="58"/>
      <c r="AF106" s="58"/>
      <c r="AG106" s="58"/>
      <c r="AH106" s="58"/>
      <c r="AI106" s="58"/>
      <c r="AJ106" s="58"/>
      <c r="AK106" s="58"/>
      <c r="AL106" s="58"/>
      <c r="AM106" s="58"/>
      <c r="AN106" s="53"/>
      <c r="AO106" s="47"/>
      <c r="AP106" s="53">
        <f t="shared" si="51"/>
        <v>0</v>
      </c>
      <c r="AQ106" s="51"/>
      <c r="AR106" s="359">
        <f t="shared" si="48"/>
        <v>0</v>
      </c>
    </row>
    <row r="107" spans="1:46" ht="15.75" x14ac:dyDescent="0.25">
      <c r="D107" s="473"/>
      <c r="E107" s="473"/>
      <c r="T107" s="75"/>
      <c r="U107" s="442"/>
      <c r="Z107" s="38"/>
      <c r="AA107" s="128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379"/>
      <c r="AN107" s="130"/>
      <c r="AO107" s="47"/>
      <c r="AP107" s="76"/>
      <c r="AQ107" s="77"/>
      <c r="AR107" s="360"/>
    </row>
    <row r="108" spans="1:46" ht="15.75" x14ac:dyDescent="0.25">
      <c r="D108" s="473"/>
      <c r="E108" s="473"/>
      <c r="T108" s="75"/>
      <c r="U108" s="442"/>
      <c r="Z108" s="38"/>
      <c r="AA108" s="138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379"/>
      <c r="AN108" s="130"/>
      <c r="AO108" s="47"/>
      <c r="AP108" s="76"/>
      <c r="AQ108" s="77"/>
      <c r="AR108" s="360"/>
    </row>
    <row r="109" spans="1:46" ht="15.75" x14ac:dyDescent="0.25">
      <c r="D109" s="473"/>
      <c r="E109" s="473"/>
      <c r="T109" s="75"/>
      <c r="U109" s="442"/>
      <c r="Z109" s="38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379"/>
      <c r="AN109" s="130"/>
      <c r="AO109" s="47"/>
      <c r="AP109" s="76"/>
      <c r="AQ109" s="77"/>
      <c r="AR109" s="360"/>
    </row>
    <row r="110" spans="1:46" ht="15.75" x14ac:dyDescent="0.25">
      <c r="D110" s="473"/>
      <c r="E110" s="473"/>
      <c r="T110" s="75"/>
      <c r="U110" s="442"/>
      <c r="Z110" s="38"/>
      <c r="AA110" s="138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379"/>
      <c r="AN110" s="130"/>
      <c r="AO110" s="47"/>
      <c r="AP110" s="76"/>
      <c r="AQ110" s="77"/>
      <c r="AR110" s="360"/>
    </row>
    <row r="111" spans="1:46" ht="15.75" x14ac:dyDescent="0.25">
      <c r="D111" s="473"/>
      <c r="E111" s="473"/>
      <c r="Z111" s="3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379"/>
      <c r="AN111" s="130"/>
      <c r="AO111" s="47"/>
      <c r="AR111" s="360"/>
    </row>
    <row r="112" spans="1:46" ht="15.75" x14ac:dyDescent="0.25">
      <c r="D112" s="473"/>
      <c r="E112" s="473"/>
      <c r="Z112" s="3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130"/>
      <c r="AO112" s="47"/>
      <c r="AR112" s="360"/>
    </row>
    <row r="113" spans="1:44" ht="15.75" x14ac:dyDescent="0.25">
      <c r="D113" s="473"/>
      <c r="E113" s="473"/>
      <c r="Z113" s="38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0"/>
      <c r="AO113" s="47"/>
      <c r="AR113" s="360"/>
    </row>
    <row r="114" spans="1:44" ht="15.75" x14ac:dyDescent="0.25">
      <c r="D114" s="473"/>
      <c r="E114" s="473"/>
      <c r="T114" s="75"/>
      <c r="U114" s="442"/>
      <c r="Z114" s="38"/>
      <c r="AA114" s="128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47"/>
      <c r="AP114" s="76"/>
      <c r="AQ114" s="77"/>
    </row>
    <row r="115" spans="1:44" ht="15.75" x14ac:dyDescent="0.25">
      <c r="D115" s="473"/>
      <c r="E115" s="473"/>
      <c r="Z115" s="3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130"/>
      <c r="AO115" s="47"/>
    </row>
    <row r="116" spans="1:44" s="78" customFormat="1" ht="15.75" x14ac:dyDescent="0.25">
      <c r="A116"/>
      <c r="B116"/>
      <c r="C116" s="74"/>
      <c r="D116" s="473"/>
      <c r="E116" s="473"/>
      <c r="F116"/>
      <c r="G116" s="74"/>
      <c r="H116" s="74"/>
      <c r="I116" s="74"/>
      <c r="J116" s="74"/>
      <c r="K116" s="74"/>
      <c r="L116" s="295"/>
      <c r="M116" s="295"/>
      <c r="N116" s="295"/>
      <c r="O116" s="296"/>
      <c r="P116" s="295"/>
      <c r="Q116" s="296"/>
      <c r="R116" s="74"/>
      <c r="S116" s="74"/>
      <c r="T116" s="74"/>
      <c r="U116" s="296"/>
      <c r="V116" s="38"/>
      <c r="W116" s="38"/>
      <c r="X116" s="293"/>
      <c r="Y116" s="38"/>
      <c r="Z116" s="3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130"/>
      <c r="AO116" s="47"/>
      <c r="AQ116" s="79"/>
      <c r="AR116" s="361"/>
    </row>
    <row r="117" spans="1:44" s="78" customFormat="1" ht="15.75" x14ac:dyDescent="0.25">
      <c r="A117"/>
      <c r="B117"/>
      <c r="C117" s="74"/>
      <c r="D117" s="473"/>
      <c r="E117" s="473"/>
      <c r="F117"/>
      <c r="G117" s="74"/>
      <c r="H117" s="74"/>
      <c r="I117" s="74"/>
      <c r="J117" s="74"/>
      <c r="K117" s="74"/>
      <c r="L117" s="295"/>
      <c r="M117" s="295"/>
      <c r="N117" s="295"/>
      <c r="O117" s="296"/>
      <c r="P117" s="295"/>
      <c r="Q117" s="296"/>
      <c r="R117" s="74"/>
      <c r="S117" s="74"/>
      <c r="T117" s="74"/>
      <c r="U117" s="296"/>
      <c r="V117" s="38"/>
      <c r="W117" s="38"/>
      <c r="X117" s="293"/>
      <c r="Y117" s="38"/>
      <c r="Z117" s="3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130"/>
      <c r="AO117" s="47"/>
      <c r="AQ117" s="79"/>
      <c r="AR117" s="361"/>
    </row>
    <row r="118" spans="1:44" s="78" customFormat="1" ht="15.75" x14ac:dyDescent="0.25">
      <c r="A118"/>
      <c r="B118"/>
      <c r="C118" s="74"/>
      <c r="D118" s="473"/>
      <c r="E118" s="473"/>
      <c r="F118"/>
      <c r="G118" s="74"/>
      <c r="H118" s="74"/>
      <c r="I118" s="74"/>
      <c r="J118" s="74"/>
      <c r="K118" s="74"/>
      <c r="L118" s="295"/>
      <c r="M118" s="295"/>
      <c r="N118" s="295"/>
      <c r="O118" s="296"/>
      <c r="P118" s="295"/>
      <c r="Q118" s="296"/>
      <c r="R118" s="74"/>
      <c r="S118" s="74"/>
      <c r="T118" s="74"/>
      <c r="U118" s="296"/>
      <c r="V118" s="38"/>
      <c r="W118" s="38"/>
      <c r="X118" s="293"/>
      <c r="Y118" s="38"/>
      <c r="Z118" s="38"/>
      <c r="AA118" s="131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130"/>
      <c r="AO118" s="47"/>
      <c r="AQ118" s="79"/>
      <c r="AR118" s="361"/>
    </row>
    <row r="119" spans="1:44" ht="15.75" x14ac:dyDescent="0.25">
      <c r="D119" s="473"/>
      <c r="E119" s="473"/>
      <c r="T119" s="75"/>
      <c r="U119" s="442"/>
      <c r="Z119" s="38"/>
      <c r="AA119" s="128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47"/>
      <c r="AP119" s="76"/>
      <c r="AQ119" s="77"/>
    </row>
    <row r="120" spans="1:44" ht="15.75" x14ac:dyDescent="0.25">
      <c r="D120" s="483"/>
      <c r="E120" s="483"/>
      <c r="T120" s="75"/>
      <c r="U120" s="442"/>
      <c r="Z120" s="38"/>
      <c r="AA120" s="128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47"/>
      <c r="AP120" s="76"/>
      <c r="AQ120" s="77"/>
    </row>
    <row r="121" spans="1:44" s="36" customFormat="1" ht="15.75" x14ac:dyDescent="0.25">
      <c r="A121" s="106" t="s">
        <v>582</v>
      </c>
      <c r="B121" s="107"/>
      <c r="C121" s="101"/>
      <c r="D121" s="476"/>
      <c r="E121" s="481"/>
      <c r="F121" s="107"/>
      <c r="G121" s="102"/>
      <c r="H121" s="102"/>
      <c r="I121" s="101"/>
      <c r="J121" s="102"/>
      <c r="K121" s="102"/>
      <c r="L121" s="276"/>
      <c r="M121" s="276"/>
      <c r="N121" s="276"/>
      <c r="O121" s="84"/>
      <c r="P121" s="276"/>
      <c r="Q121" s="84"/>
      <c r="R121" s="102"/>
      <c r="S121" s="102"/>
      <c r="T121" s="102"/>
      <c r="U121" s="84"/>
      <c r="V121" s="84"/>
      <c r="W121" s="84"/>
      <c r="X121" s="276"/>
      <c r="Y121" s="84"/>
      <c r="Z121" s="19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47"/>
      <c r="AP121" s="85"/>
      <c r="AQ121" s="51"/>
      <c r="AR121" s="359">
        <f t="shared" ref="AR121:AR155" si="52">AP121-Z121</f>
        <v>0</v>
      </c>
    </row>
    <row r="122" spans="1:44" s="36" customFormat="1" ht="15.75" x14ac:dyDescent="0.25">
      <c r="A122" s="34" t="s">
        <v>430</v>
      </c>
      <c r="B122" s="34" t="s">
        <v>431</v>
      </c>
      <c r="C122" s="341"/>
      <c r="D122" s="445" t="s">
        <v>581</v>
      </c>
      <c r="E122" s="445"/>
      <c r="F122" s="52" t="s">
        <v>581</v>
      </c>
      <c r="G122" s="52" t="s">
        <v>581</v>
      </c>
      <c r="H122" s="341"/>
      <c r="I122" s="341"/>
      <c r="J122" s="341"/>
      <c r="K122" s="341"/>
      <c r="L122" s="341" t="s">
        <v>581</v>
      </c>
      <c r="M122" s="341"/>
      <c r="N122" s="341" t="s">
        <v>581</v>
      </c>
      <c r="O122" s="342"/>
      <c r="P122" s="341"/>
      <c r="Q122" s="341" t="s">
        <v>581</v>
      </c>
      <c r="R122" s="52" t="s">
        <v>320</v>
      </c>
      <c r="S122" s="52" t="s">
        <v>581</v>
      </c>
      <c r="T122" s="52" t="s">
        <v>581</v>
      </c>
      <c r="U122" s="342"/>
      <c r="V122" s="52" t="s">
        <v>581</v>
      </c>
      <c r="W122" s="52" t="s">
        <v>581</v>
      </c>
      <c r="X122" s="52" t="s">
        <v>581</v>
      </c>
      <c r="Y122" s="52"/>
      <c r="Z122" s="182">
        <v>137906</v>
      </c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3"/>
      <c r="AO122" s="47"/>
      <c r="AP122" s="53">
        <f t="shared" ref="AP122:AP143" si="53">SUM(AA122:AO122)</f>
        <v>0</v>
      </c>
      <c r="AQ122" s="51"/>
      <c r="AR122" s="359">
        <f t="shared" si="52"/>
        <v>-137906</v>
      </c>
    </row>
    <row r="123" spans="1:44" s="36" customFormat="1" ht="15.75" x14ac:dyDescent="0.25">
      <c r="A123" s="60" t="s">
        <v>432</v>
      </c>
      <c r="B123" s="61" t="s">
        <v>433</v>
      </c>
      <c r="C123" s="341"/>
      <c r="D123" s="445" t="s">
        <v>581</v>
      </c>
      <c r="E123" s="445"/>
      <c r="F123" s="52" t="s">
        <v>581</v>
      </c>
      <c r="G123" s="52" t="s">
        <v>581</v>
      </c>
      <c r="H123" s="341"/>
      <c r="I123" s="341"/>
      <c r="J123" s="341"/>
      <c r="K123" s="341"/>
      <c r="L123" s="341" t="s">
        <v>581</v>
      </c>
      <c r="M123" s="341"/>
      <c r="N123" s="341" t="s">
        <v>581</v>
      </c>
      <c r="O123" s="342"/>
      <c r="P123" s="341"/>
      <c r="Q123" s="341" t="s">
        <v>581</v>
      </c>
      <c r="R123" s="52" t="s">
        <v>320</v>
      </c>
      <c r="S123" s="52" t="s">
        <v>581</v>
      </c>
      <c r="T123" s="52" t="s">
        <v>581</v>
      </c>
      <c r="U123" s="342"/>
      <c r="V123" s="52" t="s">
        <v>581</v>
      </c>
      <c r="W123" s="52" t="s">
        <v>581</v>
      </c>
      <c r="X123" s="52" t="s">
        <v>581</v>
      </c>
      <c r="Y123" s="52"/>
      <c r="Z123" s="182">
        <v>136537</v>
      </c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3"/>
      <c r="AO123" s="47"/>
      <c r="AP123" s="53">
        <f t="shared" si="53"/>
        <v>0</v>
      </c>
      <c r="AQ123" s="51"/>
      <c r="AR123" s="359">
        <f t="shared" si="52"/>
        <v>-136537</v>
      </c>
    </row>
    <row r="124" spans="1:44" s="36" customFormat="1" ht="15.75" x14ac:dyDescent="0.25">
      <c r="A124" s="111" t="s">
        <v>558</v>
      </c>
      <c r="B124" s="112" t="s">
        <v>641</v>
      </c>
      <c r="C124" s="341"/>
      <c r="D124" s="445" t="s">
        <v>319</v>
      </c>
      <c r="E124" s="445"/>
      <c r="F124" s="310" t="s">
        <v>319</v>
      </c>
      <c r="G124" s="310" t="s">
        <v>319</v>
      </c>
      <c r="H124" s="341"/>
      <c r="I124" s="341"/>
      <c r="J124" s="341"/>
      <c r="K124" s="341"/>
      <c r="L124" s="341" t="s">
        <v>319</v>
      </c>
      <c r="M124" s="341"/>
      <c r="N124" s="341" t="s">
        <v>319</v>
      </c>
      <c r="O124" s="342"/>
      <c r="P124" s="341"/>
      <c r="Q124" s="341" t="s">
        <v>319</v>
      </c>
      <c r="R124" s="52" t="s">
        <v>320</v>
      </c>
      <c r="S124" s="310" t="s">
        <v>319</v>
      </c>
      <c r="T124" s="310" t="s">
        <v>319</v>
      </c>
      <c r="U124" s="342"/>
      <c r="V124" s="310" t="s">
        <v>319</v>
      </c>
      <c r="W124" s="310" t="s">
        <v>319</v>
      </c>
      <c r="X124" s="310" t="s">
        <v>319</v>
      </c>
      <c r="Y124" s="310"/>
      <c r="Z124" s="306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3"/>
      <c r="AO124" s="47"/>
      <c r="AP124" s="53">
        <f t="shared" si="53"/>
        <v>0</v>
      </c>
      <c r="AQ124" s="51"/>
      <c r="AR124" s="359">
        <f t="shared" si="52"/>
        <v>0</v>
      </c>
    </row>
    <row r="125" spans="1:44" s="36" customFormat="1" ht="15.75" x14ac:dyDescent="0.25">
      <c r="A125" s="60" t="s">
        <v>161</v>
      </c>
      <c r="B125" s="61" t="s">
        <v>163</v>
      </c>
      <c r="C125" s="341"/>
      <c r="D125" s="445" t="s">
        <v>165</v>
      </c>
      <c r="E125" s="445"/>
      <c r="F125" s="52" t="s">
        <v>165</v>
      </c>
      <c r="G125" s="52" t="s">
        <v>165</v>
      </c>
      <c r="H125" s="341"/>
      <c r="I125" s="341"/>
      <c r="J125" s="341"/>
      <c r="K125" s="341"/>
      <c r="L125" s="341" t="s">
        <v>165</v>
      </c>
      <c r="M125" s="341"/>
      <c r="N125" s="341" t="s">
        <v>165</v>
      </c>
      <c r="O125" s="342"/>
      <c r="P125" s="341"/>
      <c r="Q125" s="341" t="s">
        <v>165</v>
      </c>
      <c r="R125" s="52" t="s">
        <v>320</v>
      </c>
      <c r="S125" s="52" t="s">
        <v>165</v>
      </c>
      <c r="T125" s="52" t="s">
        <v>165</v>
      </c>
      <c r="U125" s="342"/>
      <c r="V125" s="52" t="s">
        <v>165</v>
      </c>
      <c r="W125" s="52" t="s">
        <v>165</v>
      </c>
      <c r="X125" s="52" t="s">
        <v>165</v>
      </c>
      <c r="Y125" s="52"/>
      <c r="Z125" s="86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3"/>
      <c r="AO125" s="47"/>
      <c r="AP125" s="53">
        <f t="shared" si="53"/>
        <v>0</v>
      </c>
      <c r="AQ125" s="51"/>
      <c r="AR125" s="359">
        <f t="shared" si="52"/>
        <v>0</v>
      </c>
    </row>
    <row r="126" spans="1:44" s="36" customFormat="1" ht="15.75" x14ac:dyDescent="0.25">
      <c r="A126" s="111" t="s">
        <v>82</v>
      </c>
      <c r="B126" s="112" t="s">
        <v>532</v>
      </c>
      <c r="C126" s="460"/>
      <c r="D126" s="445" t="s">
        <v>319</v>
      </c>
      <c r="E126" s="465"/>
      <c r="F126" s="340" t="s">
        <v>451</v>
      </c>
      <c r="G126" s="52" t="s">
        <v>165</v>
      </c>
      <c r="H126" s="341"/>
      <c r="I126" s="460"/>
      <c r="J126" s="341"/>
      <c r="K126" s="341"/>
      <c r="L126" s="341" t="s">
        <v>165</v>
      </c>
      <c r="M126" s="341"/>
      <c r="N126" s="341" t="s">
        <v>165</v>
      </c>
      <c r="O126" s="342"/>
      <c r="P126" s="341"/>
      <c r="Q126" s="341" t="s">
        <v>165</v>
      </c>
      <c r="R126" s="87" t="s">
        <v>370</v>
      </c>
      <c r="S126" s="52" t="s">
        <v>165</v>
      </c>
      <c r="T126" s="52" t="s">
        <v>165</v>
      </c>
      <c r="U126" s="342"/>
      <c r="V126" s="52" t="s">
        <v>165</v>
      </c>
      <c r="W126" s="52" t="s">
        <v>165</v>
      </c>
      <c r="X126" s="52" t="s">
        <v>165</v>
      </c>
      <c r="Y126" s="52"/>
      <c r="Z126" s="86">
        <v>33274</v>
      </c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3"/>
      <c r="AO126" s="47"/>
      <c r="AP126" s="53">
        <f t="shared" si="53"/>
        <v>0</v>
      </c>
      <c r="AQ126" s="51"/>
      <c r="AR126" s="359">
        <f t="shared" si="52"/>
        <v>-33274</v>
      </c>
    </row>
    <row r="127" spans="1:44" s="36" customFormat="1" ht="15.75" x14ac:dyDescent="0.25">
      <c r="A127" s="113" t="s">
        <v>716</v>
      </c>
      <c r="B127" s="114" t="s">
        <v>699</v>
      </c>
      <c r="C127" s="460"/>
      <c r="D127" s="445" t="s">
        <v>319</v>
      </c>
      <c r="E127" s="465"/>
      <c r="F127" s="362" t="s">
        <v>700</v>
      </c>
      <c r="G127" s="52" t="s">
        <v>165</v>
      </c>
      <c r="H127" s="341"/>
      <c r="I127" s="460"/>
      <c r="J127" s="341"/>
      <c r="K127" s="341"/>
      <c r="L127" s="341" t="s">
        <v>165</v>
      </c>
      <c r="M127" s="341"/>
      <c r="N127" s="341" t="s">
        <v>165</v>
      </c>
      <c r="O127" s="342"/>
      <c r="P127" s="341"/>
      <c r="Q127" s="341" t="s">
        <v>165</v>
      </c>
      <c r="R127" s="52" t="s">
        <v>320</v>
      </c>
      <c r="S127" s="52" t="s">
        <v>165</v>
      </c>
      <c r="T127" s="52" t="s">
        <v>165</v>
      </c>
      <c r="U127" s="342"/>
      <c r="V127" s="52" t="s">
        <v>165</v>
      </c>
      <c r="W127" s="52" t="s">
        <v>165</v>
      </c>
      <c r="X127" s="52" t="s">
        <v>165</v>
      </c>
      <c r="Y127" s="52"/>
      <c r="Z127" s="53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3"/>
      <c r="AO127" s="47"/>
      <c r="AP127" s="53">
        <f t="shared" si="53"/>
        <v>0</v>
      </c>
      <c r="AQ127" s="51"/>
      <c r="AR127" s="359">
        <f t="shared" si="52"/>
        <v>0</v>
      </c>
    </row>
    <row r="128" spans="1:44" s="36" customFormat="1" ht="15.75" x14ac:dyDescent="0.25">
      <c r="A128" s="244" t="s">
        <v>298</v>
      </c>
      <c r="B128" s="272" t="s">
        <v>299</v>
      </c>
      <c r="C128" s="341"/>
      <c r="D128" s="445" t="s">
        <v>319</v>
      </c>
      <c r="E128" s="445"/>
      <c r="F128" s="310" t="s">
        <v>319</v>
      </c>
      <c r="G128" s="310" t="s">
        <v>319</v>
      </c>
      <c r="H128" s="341"/>
      <c r="I128" s="341"/>
      <c r="J128" s="341"/>
      <c r="K128" s="341"/>
      <c r="L128" s="341" t="s">
        <v>319</v>
      </c>
      <c r="M128" s="341"/>
      <c r="N128" s="341" t="s">
        <v>319</v>
      </c>
      <c r="O128" s="342"/>
      <c r="P128" s="341"/>
      <c r="Q128" s="341" t="s">
        <v>319</v>
      </c>
      <c r="R128" s="52" t="s">
        <v>320</v>
      </c>
      <c r="S128" s="310" t="s">
        <v>319</v>
      </c>
      <c r="T128" s="310" t="s">
        <v>319</v>
      </c>
      <c r="U128" s="342"/>
      <c r="V128" s="310" t="s">
        <v>319</v>
      </c>
      <c r="W128" s="310" t="s">
        <v>319</v>
      </c>
      <c r="X128" s="310" t="s">
        <v>319</v>
      </c>
      <c r="Y128" s="310"/>
      <c r="Z128" s="306"/>
      <c r="AA128" s="58"/>
      <c r="AB128" s="58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47"/>
      <c r="AP128" s="53">
        <f t="shared" si="53"/>
        <v>0</v>
      </c>
      <c r="AQ128" s="51"/>
      <c r="AR128" s="359">
        <f t="shared" si="52"/>
        <v>0</v>
      </c>
    </row>
    <row r="129" spans="1:46" s="36" customFormat="1" ht="15.75" x14ac:dyDescent="0.25">
      <c r="A129" s="113" t="s">
        <v>180</v>
      </c>
      <c r="B129" s="113" t="s">
        <v>182</v>
      </c>
      <c r="C129" s="341"/>
      <c r="D129" s="445" t="s">
        <v>319</v>
      </c>
      <c r="E129" s="445"/>
      <c r="F129" s="345" t="s">
        <v>697</v>
      </c>
      <c r="G129" s="310" t="s">
        <v>319</v>
      </c>
      <c r="H129" s="341"/>
      <c r="I129" s="341"/>
      <c r="J129" s="341"/>
      <c r="K129" s="341"/>
      <c r="L129" s="341" t="s">
        <v>319</v>
      </c>
      <c r="M129" s="341"/>
      <c r="N129" s="341" t="s">
        <v>319</v>
      </c>
      <c r="O129" s="342"/>
      <c r="P129" s="341"/>
      <c r="Q129" s="341" t="s">
        <v>319</v>
      </c>
      <c r="R129" s="310" t="s">
        <v>370</v>
      </c>
      <c r="S129" s="310" t="s">
        <v>319</v>
      </c>
      <c r="T129" s="310" t="s">
        <v>319</v>
      </c>
      <c r="U129" s="342"/>
      <c r="V129" s="310" t="s">
        <v>319</v>
      </c>
      <c r="W129" s="310" t="s">
        <v>319</v>
      </c>
      <c r="X129" s="310" t="s">
        <v>319</v>
      </c>
      <c r="Y129" s="310"/>
      <c r="Z129" s="351"/>
      <c r="AA129" s="58"/>
      <c r="AB129" s="58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47"/>
      <c r="AP129" s="53">
        <f t="shared" si="53"/>
        <v>0</v>
      </c>
      <c r="AQ129" s="51"/>
      <c r="AR129" s="359">
        <f t="shared" si="52"/>
        <v>0</v>
      </c>
    </row>
    <row r="130" spans="1:46" s="36" customFormat="1" ht="15.75" x14ac:dyDescent="0.25">
      <c r="A130" s="244" t="s">
        <v>316</v>
      </c>
      <c r="B130" s="244" t="s">
        <v>435</v>
      </c>
      <c r="C130" s="341"/>
      <c r="D130" s="445" t="s">
        <v>319</v>
      </c>
      <c r="E130" s="445"/>
      <c r="F130" s="52" t="s">
        <v>319</v>
      </c>
      <c r="G130" s="52" t="s">
        <v>319</v>
      </c>
      <c r="H130" s="341"/>
      <c r="I130" s="341"/>
      <c r="J130" s="341"/>
      <c r="K130" s="341"/>
      <c r="L130" s="341" t="s">
        <v>319</v>
      </c>
      <c r="M130" s="341"/>
      <c r="N130" s="341" t="s">
        <v>319</v>
      </c>
      <c r="O130" s="342"/>
      <c r="P130" s="341"/>
      <c r="Q130" s="341" t="s">
        <v>319</v>
      </c>
      <c r="R130" s="52" t="s">
        <v>320</v>
      </c>
      <c r="S130" s="52" t="s">
        <v>319</v>
      </c>
      <c r="T130" s="52" t="s">
        <v>319</v>
      </c>
      <c r="U130" s="342"/>
      <c r="V130" s="52" t="s">
        <v>319</v>
      </c>
      <c r="W130" s="52" t="s">
        <v>319</v>
      </c>
      <c r="X130" s="52" t="s">
        <v>319</v>
      </c>
      <c r="Y130" s="52"/>
      <c r="Z130" s="182">
        <v>461956</v>
      </c>
      <c r="AA130" s="58"/>
      <c r="AB130" s="58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47"/>
      <c r="AP130" s="53">
        <f t="shared" si="53"/>
        <v>0</v>
      </c>
      <c r="AQ130" s="51"/>
      <c r="AR130" s="359">
        <f t="shared" si="52"/>
        <v>-461956</v>
      </c>
    </row>
    <row r="131" spans="1:46" s="36" customFormat="1" ht="15.75" x14ac:dyDescent="0.25">
      <c r="A131" s="113" t="s">
        <v>325</v>
      </c>
      <c r="B131" s="114" t="s">
        <v>418</v>
      </c>
      <c r="C131" s="341"/>
      <c r="D131" s="445" t="s">
        <v>319</v>
      </c>
      <c r="E131" s="445"/>
      <c r="F131" s="52" t="s">
        <v>319</v>
      </c>
      <c r="G131" s="52" t="s">
        <v>319</v>
      </c>
      <c r="H131" s="341"/>
      <c r="I131" s="341"/>
      <c r="J131" s="341"/>
      <c r="K131" s="341"/>
      <c r="L131" s="341" t="s">
        <v>319</v>
      </c>
      <c r="M131" s="341"/>
      <c r="N131" s="341" t="s">
        <v>319</v>
      </c>
      <c r="O131" s="342"/>
      <c r="P131" s="341"/>
      <c r="Q131" s="341" t="s">
        <v>319</v>
      </c>
      <c r="R131" s="52" t="s">
        <v>320</v>
      </c>
      <c r="S131" s="52" t="s">
        <v>319</v>
      </c>
      <c r="T131" s="52" t="s">
        <v>319</v>
      </c>
      <c r="U131" s="342"/>
      <c r="V131" s="52" t="s">
        <v>319</v>
      </c>
      <c r="W131" s="52" t="s">
        <v>319</v>
      </c>
      <c r="X131" s="52" t="s">
        <v>319</v>
      </c>
      <c r="Y131" s="52"/>
      <c r="Z131" s="247">
        <v>15630</v>
      </c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3"/>
      <c r="AO131" s="47"/>
      <c r="AP131" s="53">
        <f t="shared" si="53"/>
        <v>0</v>
      </c>
      <c r="AQ131" s="51"/>
      <c r="AR131" s="359">
        <f t="shared" si="52"/>
        <v>-15630</v>
      </c>
    </row>
    <row r="132" spans="1:46" s="36" customFormat="1" ht="15.75" x14ac:dyDescent="0.25">
      <c r="A132" s="113" t="s">
        <v>328</v>
      </c>
      <c r="B132" s="114" t="s">
        <v>419</v>
      </c>
      <c r="C132" s="341"/>
      <c r="D132" s="445" t="s">
        <v>319</v>
      </c>
      <c r="E132" s="445"/>
      <c r="F132" s="52" t="s">
        <v>319</v>
      </c>
      <c r="G132" s="52" t="s">
        <v>319</v>
      </c>
      <c r="H132" s="341"/>
      <c r="I132" s="341"/>
      <c r="J132" s="341"/>
      <c r="K132" s="341"/>
      <c r="L132" s="341" t="s">
        <v>319</v>
      </c>
      <c r="M132" s="341"/>
      <c r="N132" s="341" t="s">
        <v>319</v>
      </c>
      <c r="O132" s="342"/>
      <c r="P132" s="341"/>
      <c r="Q132" s="341" t="s">
        <v>319</v>
      </c>
      <c r="R132" s="52" t="s">
        <v>320</v>
      </c>
      <c r="S132" s="52" t="s">
        <v>319</v>
      </c>
      <c r="T132" s="52" t="s">
        <v>319</v>
      </c>
      <c r="U132" s="342"/>
      <c r="V132" s="52" t="s">
        <v>319</v>
      </c>
      <c r="W132" s="52" t="s">
        <v>319</v>
      </c>
      <c r="X132" s="52" t="s">
        <v>319</v>
      </c>
      <c r="Y132" s="52"/>
      <c r="Z132" s="247">
        <v>15000</v>
      </c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3"/>
      <c r="AO132" s="47"/>
      <c r="AP132" s="53">
        <f t="shared" si="53"/>
        <v>0</v>
      </c>
      <c r="AQ132" s="51"/>
      <c r="AR132" s="359">
        <f t="shared" si="52"/>
        <v>-15000</v>
      </c>
    </row>
    <row r="133" spans="1:46" s="36" customFormat="1" ht="15.75" x14ac:dyDescent="0.25">
      <c r="A133" s="113" t="s">
        <v>110</v>
      </c>
      <c r="B133" s="114" t="s">
        <v>111</v>
      </c>
      <c r="C133" s="341"/>
      <c r="D133" s="445" t="s">
        <v>319</v>
      </c>
      <c r="E133" s="445"/>
      <c r="F133" s="52" t="s">
        <v>319</v>
      </c>
      <c r="G133" s="52" t="s">
        <v>319</v>
      </c>
      <c r="H133" s="341"/>
      <c r="I133" s="341"/>
      <c r="J133" s="341"/>
      <c r="K133" s="341"/>
      <c r="L133" s="341" t="s">
        <v>319</v>
      </c>
      <c r="M133" s="341"/>
      <c r="N133" s="341" t="s">
        <v>319</v>
      </c>
      <c r="O133" s="342"/>
      <c r="P133" s="341"/>
      <c r="Q133" s="341" t="s">
        <v>319</v>
      </c>
      <c r="R133" s="52" t="s">
        <v>320</v>
      </c>
      <c r="S133" s="52" t="s">
        <v>319</v>
      </c>
      <c r="T133" s="52" t="s">
        <v>319</v>
      </c>
      <c r="U133" s="342"/>
      <c r="V133" s="52" t="s">
        <v>319</v>
      </c>
      <c r="W133" s="52" t="s">
        <v>319</v>
      </c>
      <c r="X133" s="52" t="s">
        <v>319</v>
      </c>
      <c r="Y133" s="52"/>
      <c r="Z133" s="86"/>
      <c r="AA133" s="58"/>
      <c r="AB133" s="58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47"/>
      <c r="AP133" s="53">
        <f t="shared" si="53"/>
        <v>0</v>
      </c>
      <c r="AQ133" s="51"/>
      <c r="AR133" s="359">
        <f t="shared" si="52"/>
        <v>0</v>
      </c>
    </row>
    <row r="134" spans="1:46" s="36" customFormat="1" ht="15.75" x14ac:dyDescent="0.25">
      <c r="A134" s="113" t="s">
        <v>187</v>
      </c>
      <c r="B134" s="114" t="s">
        <v>188</v>
      </c>
      <c r="C134" s="341"/>
      <c r="D134" s="445" t="s">
        <v>319</v>
      </c>
      <c r="E134" s="445"/>
      <c r="F134" s="52" t="s">
        <v>319</v>
      </c>
      <c r="G134" s="52" t="s">
        <v>319</v>
      </c>
      <c r="H134" s="341"/>
      <c r="I134" s="341"/>
      <c r="J134" s="341"/>
      <c r="K134" s="341"/>
      <c r="L134" s="341" t="s">
        <v>319</v>
      </c>
      <c r="M134" s="341"/>
      <c r="N134" s="341" t="s">
        <v>319</v>
      </c>
      <c r="O134" s="342"/>
      <c r="P134" s="341"/>
      <c r="Q134" s="341" t="s">
        <v>319</v>
      </c>
      <c r="R134" s="52" t="s">
        <v>320</v>
      </c>
      <c r="S134" s="52" t="s">
        <v>319</v>
      </c>
      <c r="T134" s="52" t="s">
        <v>319</v>
      </c>
      <c r="U134" s="342"/>
      <c r="V134" s="52" t="s">
        <v>319</v>
      </c>
      <c r="W134" s="52" t="s">
        <v>319</v>
      </c>
      <c r="X134" s="52" t="s">
        <v>319</v>
      </c>
      <c r="Y134" s="52"/>
      <c r="Z134" s="182">
        <v>41062</v>
      </c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47"/>
      <c r="AP134" s="53">
        <f t="shared" si="53"/>
        <v>0</v>
      </c>
      <c r="AQ134" s="51"/>
      <c r="AR134" s="359">
        <f t="shared" si="52"/>
        <v>-41062</v>
      </c>
    </row>
    <row r="135" spans="1:46" s="36" customFormat="1" ht="15.75" x14ac:dyDescent="0.25">
      <c r="A135" s="113" t="s">
        <v>178</v>
      </c>
      <c r="B135" s="113" t="s">
        <v>179</v>
      </c>
      <c r="C135" s="341"/>
      <c r="D135" s="445" t="s">
        <v>319</v>
      </c>
      <c r="E135" s="445"/>
      <c r="F135" s="52" t="s">
        <v>319</v>
      </c>
      <c r="G135" s="52" t="s">
        <v>319</v>
      </c>
      <c r="H135" s="341"/>
      <c r="I135" s="341"/>
      <c r="J135" s="341"/>
      <c r="K135" s="341"/>
      <c r="L135" s="341" t="s">
        <v>319</v>
      </c>
      <c r="M135" s="341"/>
      <c r="N135" s="341" t="s">
        <v>319</v>
      </c>
      <c r="O135" s="342"/>
      <c r="P135" s="341"/>
      <c r="Q135" s="341" t="s">
        <v>319</v>
      </c>
      <c r="R135" s="52" t="s">
        <v>320</v>
      </c>
      <c r="S135" s="52" t="s">
        <v>319</v>
      </c>
      <c r="T135" s="52" t="s">
        <v>319</v>
      </c>
      <c r="U135" s="342"/>
      <c r="V135" s="52" t="s">
        <v>319</v>
      </c>
      <c r="W135" s="52" t="s">
        <v>319</v>
      </c>
      <c r="X135" s="52" t="s">
        <v>319</v>
      </c>
      <c r="Y135" s="52"/>
      <c r="Z135" s="86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3"/>
      <c r="AO135" s="47"/>
      <c r="AP135" s="53">
        <f t="shared" si="53"/>
        <v>0</v>
      </c>
      <c r="AQ135" s="51"/>
      <c r="AR135" s="359">
        <f t="shared" si="52"/>
        <v>0</v>
      </c>
    </row>
    <row r="136" spans="1:46" s="36" customFormat="1" ht="15.75" x14ac:dyDescent="0.25">
      <c r="A136" s="113" t="s">
        <v>544</v>
      </c>
      <c r="B136" s="113" t="s">
        <v>668</v>
      </c>
      <c r="C136" s="341"/>
      <c r="D136" s="445" t="s">
        <v>319</v>
      </c>
      <c r="E136" s="445"/>
      <c r="F136" s="345" t="s">
        <v>691</v>
      </c>
      <c r="G136" s="52" t="s">
        <v>319</v>
      </c>
      <c r="H136" s="341"/>
      <c r="I136" s="341"/>
      <c r="J136" s="341"/>
      <c r="K136" s="341"/>
      <c r="L136" s="341" t="s">
        <v>319</v>
      </c>
      <c r="M136" s="341"/>
      <c r="N136" s="341" t="s">
        <v>319</v>
      </c>
      <c r="O136" s="342"/>
      <c r="P136" s="341"/>
      <c r="Q136" s="341" t="s">
        <v>319</v>
      </c>
      <c r="R136" s="87" t="s">
        <v>320</v>
      </c>
      <c r="S136" s="52" t="s">
        <v>319</v>
      </c>
      <c r="T136" s="52" t="s">
        <v>319</v>
      </c>
      <c r="U136" s="342"/>
      <c r="V136" s="52" t="s">
        <v>319</v>
      </c>
      <c r="W136" s="52" t="s">
        <v>319</v>
      </c>
      <c r="X136" s="52" t="s">
        <v>319</v>
      </c>
      <c r="Y136" s="52"/>
      <c r="Z136" s="181">
        <v>15493</v>
      </c>
      <c r="AA136" s="58"/>
      <c r="AB136" s="58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47"/>
      <c r="AP136" s="53">
        <f t="shared" si="53"/>
        <v>0</v>
      </c>
      <c r="AQ136" s="51"/>
      <c r="AR136" s="359">
        <f t="shared" si="52"/>
        <v>-15493</v>
      </c>
    </row>
    <row r="137" spans="1:46" s="36" customFormat="1" ht="15.75" x14ac:dyDescent="0.25">
      <c r="A137" s="113" t="s">
        <v>602</v>
      </c>
      <c r="B137" s="114" t="s">
        <v>603</v>
      </c>
      <c r="C137" s="341"/>
      <c r="D137" s="445" t="s">
        <v>319</v>
      </c>
      <c r="E137" s="445"/>
      <c r="F137" s="52" t="s">
        <v>319</v>
      </c>
      <c r="G137" s="52" t="s">
        <v>319</v>
      </c>
      <c r="H137" s="341"/>
      <c r="I137" s="341"/>
      <c r="J137" s="341"/>
      <c r="K137" s="341"/>
      <c r="L137" s="341" t="s">
        <v>319</v>
      </c>
      <c r="M137" s="341"/>
      <c r="N137" s="341" t="s">
        <v>319</v>
      </c>
      <c r="O137" s="342"/>
      <c r="P137" s="341"/>
      <c r="Q137" s="341" t="s">
        <v>319</v>
      </c>
      <c r="R137" s="52" t="s">
        <v>320</v>
      </c>
      <c r="S137" s="52" t="s">
        <v>319</v>
      </c>
      <c r="T137" s="52" t="s">
        <v>319</v>
      </c>
      <c r="U137" s="342"/>
      <c r="V137" s="52" t="s">
        <v>319</v>
      </c>
      <c r="W137" s="52" t="s">
        <v>319</v>
      </c>
      <c r="X137" s="52" t="s">
        <v>319</v>
      </c>
      <c r="Y137" s="52"/>
      <c r="Z137" s="53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3"/>
      <c r="AO137" s="47"/>
      <c r="AP137" s="53">
        <f t="shared" si="53"/>
        <v>0</v>
      </c>
      <c r="AQ137" s="51"/>
      <c r="AR137" s="359">
        <f t="shared" si="52"/>
        <v>0</v>
      </c>
    </row>
    <row r="138" spans="1:46" s="36" customFormat="1" ht="15.75" x14ac:dyDescent="0.25">
      <c r="A138" s="113" t="s">
        <v>747</v>
      </c>
      <c r="B138" s="114" t="s">
        <v>598</v>
      </c>
      <c r="C138" s="341"/>
      <c r="D138" s="445" t="s">
        <v>319</v>
      </c>
      <c r="E138" s="445"/>
      <c r="F138" s="52" t="s">
        <v>319</v>
      </c>
      <c r="G138" s="52" t="s">
        <v>319</v>
      </c>
      <c r="H138" s="341"/>
      <c r="I138" s="341"/>
      <c r="J138" s="341"/>
      <c r="K138" s="341"/>
      <c r="L138" s="341" t="s">
        <v>319</v>
      </c>
      <c r="M138" s="341"/>
      <c r="N138" s="341" t="s">
        <v>319</v>
      </c>
      <c r="O138" s="342"/>
      <c r="P138" s="341"/>
      <c r="Q138" s="341" t="s">
        <v>319</v>
      </c>
      <c r="R138" s="52" t="s">
        <v>320</v>
      </c>
      <c r="S138" s="52" t="s">
        <v>319</v>
      </c>
      <c r="T138" s="52" t="s">
        <v>319</v>
      </c>
      <c r="U138" s="342"/>
      <c r="V138" s="52" t="s">
        <v>319</v>
      </c>
      <c r="W138" s="52" t="s">
        <v>319</v>
      </c>
      <c r="X138" s="52" t="s">
        <v>319</v>
      </c>
      <c r="Y138" s="52"/>
      <c r="Z138" s="53"/>
      <c r="AA138" s="58"/>
      <c r="AB138" s="58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47"/>
      <c r="AP138" s="53">
        <f t="shared" si="53"/>
        <v>0</v>
      </c>
      <c r="AQ138" s="51"/>
      <c r="AR138" s="359">
        <f t="shared" si="52"/>
        <v>0</v>
      </c>
    </row>
    <row r="139" spans="1:46" s="36" customFormat="1" ht="15.75" x14ac:dyDescent="0.25">
      <c r="A139" s="113" t="s">
        <v>586</v>
      </c>
      <c r="B139" s="114" t="s">
        <v>587</v>
      </c>
      <c r="C139" s="341"/>
      <c r="D139" s="445" t="s">
        <v>319</v>
      </c>
      <c r="E139" s="445"/>
      <c r="F139" s="52" t="s">
        <v>319</v>
      </c>
      <c r="G139" s="52" t="s">
        <v>319</v>
      </c>
      <c r="H139" s="341"/>
      <c r="I139" s="341"/>
      <c r="J139" s="341"/>
      <c r="K139" s="341"/>
      <c r="L139" s="341" t="s">
        <v>319</v>
      </c>
      <c r="M139" s="341"/>
      <c r="N139" s="341" t="s">
        <v>319</v>
      </c>
      <c r="O139" s="342"/>
      <c r="P139" s="341"/>
      <c r="Q139" s="341" t="s">
        <v>319</v>
      </c>
      <c r="R139" s="52" t="s">
        <v>320</v>
      </c>
      <c r="S139" s="52" t="s">
        <v>319</v>
      </c>
      <c r="T139" s="52" t="s">
        <v>319</v>
      </c>
      <c r="U139" s="342"/>
      <c r="V139" s="52" t="s">
        <v>319</v>
      </c>
      <c r="W139" s="52" t="s">
        <v>319</v>
      </c>
      <c r="X139" s="52" t="s">
        <v>319</v>
      </c>
      <c r="Y139" s="52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3"/>
      <c r="AO139" s="47"/>
      <c r="AP139" s="53">
        <f t="shared" si="53"/>
        <v>0</v>
      </c>
      <c r="AQ139" s="51"/>
      <c r="AR139" s="359">
        <f t="shared" si="52"/>
        <v>0</v>
      </c>
    </row>
    <row r="140" spans="1:46" s="36" customFormat="1" ht="15.75" x14ac:dyDescent="0.25">
      <c r="A140" s="113" t="s">
        <v>583</v>
      </c>
      <c r="B140" s="114" t="s">
        <v>588</v>
      </c>
      <c r="C140" s="341"/>
      <c r="D140" s="445" t="s">
        <v>319</v>
      </c>
      <c r="E140" s="445"/>
      <c r="F140" s="52" t="s">
        <v>319</v>
      </c>
      <c r="G140" s="52" t="s">
        <v>319</v>
      </c>
      <c r="H140" s="341"/>
      <c r="I140" s="341"/>
      <c r="J140" s="341"/>
      <c r="K140" s="341"/>
      <c r="L140" s="341" t="s">
        <v>319</v>
      </c>
      <c r="M140" s="341"/>
      <c r="N140" s="341" t="s">
        <v>319</v>
      </c>
      <c r="O140" s="342"/>
      <c r="P140" s="341"/>
      <c r="Q140" s="341" t="s">
        <v>319</v>
      </c>
      <c r="R140" s="52" t="s">
        <v>320</v>
      </c>
      <c r="S140" s="52" t="s">
        <v>319</v>
      </c>
      <c r="T140" s="52" t="s">
        <v>319</v>
      </c>
      <c r="U140" s="342"/>
      <c r="V140" s="52" t="s">
        <v>319</v>
      </c>
      <c r="W140" s="52" t="s">
        <v>319</v>
      </c>
      <c r="X140" s="52" t="s">
        <v>319</v>
      </c>
      <c r="Y140" s="52"/>
      <c r="Z140" s="53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3"/>
      <c r="AO140" s="47"/>
      <c r="AP140" s="53">
        <f t="shared" si="53"/>
        <v>0</v>
      </c>
      <c r="AQ140" s="51"/>
      <c r="AR140" s="359">
        <f t="shared" si="52"/>
        <v>0</v>
      </c>
      <c r="AT140" s="55"/>
    </row>
    <row r="141" spans="1:46" s="36" customFormat="1" ht="15.75" x14ac:dyDescent="0.25">
      <c r="A141" s="113" t="s">
        <v>584</v>
      </c>
      <c r="B141" s="114" t="s">
        <v>585</v>
      </c>
      <c r="C141" s="341"/>
      <c r="D141" s="445" t="s">
        <v>319</v>
      </c>
      <c r="E141" s="445"/>
      <c r="F141" s="52" t="s">
        <v>319</v>
      </c>
      <c r="G141" s="52" t="s">
        <v>319</v>
      </c>
      <c r="H141" s="341"/>
      <c r="I141" s="341"/>
      <c r="J141" s="341"/>
      <c r="K141" s="341"/>
      <c r="L141" s="341" t="s">
        <v>319</v>
      </c>
      <c r="M141" s="341"/>
      <c r="N141" s="341" t="s">
        <v>319</v>
      </c>
      <c r="O141" s="342"/>
      <c r="P141" s="341"/>
      <c r="Q141" s="341" t="s">
        <v>319</v>
      </c>
      <c r="R141" s="52" t="s">
        <v>320</v>
      </c>
      <c r="S141" s="52" t="s">
        <v>319</v>
      </c>
      <c r="T141" s="52" t="s">
        <v>319</v>
      </c>
      <c r="U141" s="342"/>
      <c r="V141" s="52" t="s">
        <v>319</v>
      </c>
      <c r="W141" s="52" t="s">
        <v>319</v>
      </c>
      <c r="X141" s="52" t="s">
        <v>319</v>
      </c>
      <c r="Y141" s="52"/>
      <c r="Z141" s="53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3"/>
      <c r="AO141" s="47"/>
      <c r="AP141" s="53">
        <f t="shared" si="53"/>
        <v>0</v>
      </c>
      <c r="AQ141" s="51"/>
      <c r="AR141" s="359">
        <f t="shared" si="52"/>
        <v>0</v>
      </c>
      <c r="AT141" s="55"/>
    </row>
    <row r="142" spans="1:46" s="36" customFormat="1" ht="15.75" x14ac:dyDescent="0.25">
      <c r="A142" s="113" t="s">
        <v>714</v>
      </c>
      <c r="B142" s="114" t="s">
        <v>715</v>
      </c>
      <c r="C142" s="341"/>
      <c r="D142" s="445" t="s">
        <v>319</v>
      </c>
      <c r="E142" s="445"/>
      <c r="F142" s="52" t="s">
        <v>319</v>
      </c>
      <c r="G142" s="52" t="s">
        <v>319</v>
      </c>
      <c r="H142" s="341"/>
      <c r="I142" s="341"/>
      <c r="J142" s="341"/>
      <c r="K142" s="341"/>
      <c r="L142" s="341" t="s">
        <v>319</v>
      </c>
      <c r="M142" s="341"/>
      <c r="N142" s="341" t="s">
        <v>319</v>
      </c>
      <c r="O142" s="342"/>
      <c r="P142" s="341"/>
      <c r="Q142" s="341" t="s">
        <v>319</v>
      </c>
      <c r="R142" s="52" t="s">
        <v>320</v>
      </c>
      <c r="S142" s="52" t="s">
        <v>319</v>
      </c>
      <c r="T142" s="52" t="s">
        <v>319</v>
      </c>
      <c r="U142" s="342"/>
      <c r="V142" s="52" t="s">
        <v>319</v>
      </c>
      <c r="W142" s="52" t="s">
        <v>319</v>
      </c>
      <c r="X142" s="52" t="s">
        <v>319</v>
      </c>
      <c r="Y142" s="52"/>
      <c r="Z142" s="53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3"/>
      <c r="AO142" s="47"/>
      <c r="AP142" s="53">
        <f t="shared" si="53"/>
        <v>0</v>
      </c>
      <c r="AQ142" s="51"/>
      <c r="AR142" s="359">
        <f t="shared" si="52"/>
        <v>0</v>
      </c>
      <c r="AT142" s="55"/>
    </row>
    <row r="143" spans="1:46" s="36" customFormat="1" ht="15.75" x14ac:dyDescent="0.25">
      <c r="A143" s="113" t="s">
        <v>589</v>
      </c>
      <c r="B143" s="114" t="s">
        <v>590</v>
      </c>
      <c r="C143" s="341"/>
      <c r="D143" s="445" t="s">
        <v>319</v>
      </c>
      <c r="E143" s="445"/>
      <c r="F143" s="52" t="s">
        <v>319</v>
      </c>
      <c r="G143" s="52" t="s">
        <v>319</v>
      </c>
      <c r="H143" s="341"/>
      <c r="I143" s="341"/>
      <c r="J143" s="341"/>
      <c r="K143" s="341"/>
      <c r="L143" s="341" t="s">
        <v>319</v>
      </c>
      <c r="M143" s="341"/>
      <c r="N143" s="341" t="s">
        <v>319</v>
      </c>
      <c r="O143" s="342"/>
      <c r="P143" s="341"/>
      <c r="Q143" s="341" t="s">
        <v>319</v>
      </c>
      <c r="R143" s="52" t="s">
        <v>320</v>
      </c>
      <c r="S143" s="52" t="s">
        <v>319</v>
      </c>
      <c r="T143" s="52" t="s">
        <v>319</v>
      </c>
      <c r="U143" s="342"/>
      <c r="V143" s="52" t="s">
        <v>319</v>
      </c>
      <c r="W143" s="52" t="s">
        <v>319</v>
      </c>
      <c r="X143" s="52" t="s">
        <v>319</v>
      </c>
      <c r="Y143" s="52"/>
      <c r="Z143" s="210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3"/>
      <c r="AO143" s="47"/>
      <c r="AP143" s="53">
        <f t="shared" si="53"/>
        <v>0</v>
      </c>
      <c r="AQ143" s="51"/>
      <c r="AR143" s="359">
        <f t="shared" si="52"/>
        <v>0</v>
      </c>
      <c r="AT143" s="55"/>
    </row>
    <row r="144" spans="1:46" s="36" customFormat="1" ht="15.75" x14ac:dyDescent="0.25">
      <c r="A144" s="113" t="s">
        <v>718</v>
      </c>
      <c r="B144" s="113" t="s">
        <v>660</v>
      </c>
      <c r="C144" s="458" t="s">
        <v>826</v>
      </c>
      <c r="D144" s="445" t="s">
        <v>402</v>
      </c>
      <c r="E144" s="455"/>
      <c r="F144" s="459" t="s">
        <v>876</v>
      </c>
      <c r="G144" s="341" t="s">
        <v>877</v>
      </c>
      <c r="H144" s="341" t="s">
        <v>370</v>
      </c>
      <c r="I144" s="458"/>
      <c r="J144" s="341">
        <v>44544</v>
      </c>
      <c r="K144" s="341">
        <v>44564</v>
      </c>
      <c r="L144" s="341">
        <v>44589</v>
      </c>
      <c r="M144" s="341">
        <v>44619</v>
      </c>
      <c r="N144" s="341">
        <f>L144+30</f>
        <v>44619</v>
      </c>
      <c r="O144" s="342"/>
      <c r="P144" s="342">
        <f>M144-K144</f>
        <v>55</v>
      </c>
      <c r="Q144" s="342">
        <f>N144-L144</f>
        <v>30</v>
      </c>
      <c r="R144" s="341" t="s">
        <v>320</v>
      </c>
      <c r="S144" s="341">
        <v>44613</v>
      </c>
      <c r="T144" s="341">
        <f>S144+(6*4.3*7)</f>
        <v>44793.599999999999</v>
      </c>
      <c r="U144" s="342">
        <v>5.999999999999952</v>
      </c>
      <c r="V144" s="342">
        <f>((T144-S144)/7)/4.3</f>
        <v>5.999999999999952</v>
      </c>
      <c r="W144" s="342"/>
      <c r="X144" s="341"/>
      <c r="Y144" s="50"/>
      <c r="Z144" s="182">
        <v>2860071.9</v>
      </c>
      <c r="AA144" s="211">
        <v>269645.40000000002</v>
      </c>
      <c r="AB144" s="58"/>
      <c r="AC144" s="58"/>
      <c r="AD144" s="275">
        <v>125000</v>
      </c>
      <c r="AE144" s="275">
        <v>125000</v>
      </c>
      <c r="AF144" s="275">
        <v>125000</v>
      </c>
      <c r="AG144" s="275">
        <v>105000</v>
      </c>
      <c r="AH144" s="275"/>
      <c r="AI144" s="275"/>
      <c r="AJ144" s="275"/>
      <c r="AK144" s="58"/>
      <c r="AL144" s="58">
        <v>200000</v>
      </c>
      <c r="AM144" s="58"/>
      <c r="AN144" s="53"/>
      <c r="AO144" s="47"/>
      <c r="AP144" s="53">
        <f>SUM(AA144:AO144)</f>
        <v>949645.4</v>
      </c>
      <c r="AQ144" s="51"/>
      <c r="AR144" s="359">
        <f>AP144-Z144</f>
        <v>-1910426.5</v>
      </c>
    </row>
    <row r="145" spans="1:46" s="36" customFormat="1" ht="15.75" x14ac:dyDescent="0.25">
      <c r="A145" s="113" t="s">
        <v>720</v>
      </c>
      <c r="B145" s="114" t="s">
        <v>721</v>
      </c>
      <c r="C145" s="341"/>
      <c r="D145" s="445" t="s">
        <v>319</v>
      </c>
      <c r="E145" s="445"/>
      <c r="F145" s="52" t="s">
        <v>319</v>
      </c>
      <c r="G145" s="52" t="s">
        <v>319</v>
      </c>
      <c r="H145" s="341" t="s">
        <v>320</v>
      </c>
      <c r="I145" s="341"/>
      <c r="J145" s="341" t="s">
        <v>319</v>
      </c>
      <c r="K145" s="341"/>
      <c r="L145" s="341" t="s">
        <v>319</v>
      </c>
      <c r="M145" s="341"/>
      <c r="N145" s="341" t="s">
        <v>319</v>
      </c>
      <c r="O145" s="342"/>
      <c r="P145" s="341"/>
      <c r="Q145" s="341" t="s">
        <v>319</v>
      </c>
      <c r="R145" s="52" t="s">
        <v>320</v>
      </c>
      <c r="S145" s="52" t="s">
        <v>319</v>
      </c>
      <c r="T145" s="52" t="s">
        <v>319</v>
      </c>
      <c r="U145" s="342"/>
      <c r="V145" s="52" t="s">
        <v>319</v>
      </c>
      <c r="W145" s="52" t="s">
        <v>319</v>
      </c>
      <c r="X145" s="52" t="s">
        <v>319</v>
      </c>
      <c r="Y145" s="52"/>
      <c r="Z145" s="53">
        <v>0</v>
      </c>
      <c r="AA145" s="53"/>
      <c r="AB145" s="58"/>
      <c r="AC145" s="58"/>
      <c r="AD145" s="275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53"/>
      <c r="AO145" s="47"/>
      <c r="AP145" s="53"/>
      <c r="AQ145" s="51"/>
      <c r="AR145" s="359">
        <f t="shared" si="52"/>
        <v>0</v>
      </c>
      <c r="AT145" s="55"/>
    </row>
    <row r="146" spans="1:46" s="36" customFormat="1" ht="15.75" x14ac:dyDescent="0.25">
      <c r="A146" s="113" t="s">
        <v>722</v>
      </c>
      <c r="B146" s="114" t="s">
        <v>723</v>
      </c>
      <c r="C146" s="341"/>
      <c r="D146" s="445" t="s">
        <v>319</v>
      </c>
      <c r="E146" s="445"/>
      <c r="F146" s="52" t="s">
        <v>319</v>
      </c>
      <c r="G146" s="52" t="s">
        <v>319</v>
      </c>
      <c r="H146" s="341"/>
      <c r="I146" s="341"/>
      <c r="J146" s="341"/>
      <c r="K146" s="341"/>
      <c r="L146" s="341" t="s">
        <v>319</v>
      </c>
      <c r="M146" s="341"/>
      <c r="N146" s="341" t="s">
        <v>319</v>
      </c>
      <c r="O146" s="342"/>
      <c r="P146" s="341"/>
      <c r="Q146" s="341" t="s">
        <v>319</v>
      </c>
      <c r="R146" s="52" t="s">
        <v>320</v>
      </c>
      <c r="S146" s="52" t="s">
        <v>319</v>
      </c>
      <c r="T146" s="52" t="s">
        <v>319</v>
      </c>
      <c r="U146" s="342"/>
      <c r="V146" s="52" t="s">
        <v>319</v>
      </c>
      <c r="W146" s="52" t="s">
        <v>319</v>
      </c>
      <c r="X146" s="52" t="s">
        <v>319</v>
      </c>
      <c r="Y146" s="52"/>
      <c r="Z146" s="53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3"/>
      <c r="AO146" s="47"/>
      <c r="AP146" s="53">
        <f t="shared" ref="AP146:AP155" si="54">SUM(AA146:AO146)</f>
        <v>0</v>
      </c>
      <c r="AQ146" s="51"/>
      <c r="AR146" s="359">
        <f t="shared" si="52"/>
        <v>0</v>
      </c>
      <c r="AT146" s="55"/>
    </row>
    <row r="147" spans="1:46" s="36" customFormat="1" ht="15.75" x14ac:dyDescent="0.25">
      <c r="A147" s="113" t="s">
        <v>728</v>
      </c>
      <c r="B147" s="114" t="s">
        <v>731</v>
      </c>
      <c r="C147" s="341"/>
      <c r="D147" s="445" t="s">
        <v>319</v>
      </c>
      <c r="E147" s="445"/>
      <c r="F147" s="52" t="s">
        <v>319</v>
      </c>
      <c r="G147" s="52" t="s">
        <v>319</v>
      </c>
      <c r="H147" s="341"/>
      <c r="I147" s="341"/>
      <c r="J147" s="341"/>
      <c r="K147" s="341"/>
      <c r="L147" s="341" t="s">
        <v>319</v>
      </c>
      <c r="M147" s="341"/>
      <c r="N147" s="341" t="s">
        <v>319</v>
      </c>
      <c r="O147" s="342"/>
      <c r="P147" s="341"/>
      <c r="Q147" s="341" t="s">
        <v>319</v>
      </c>
      <c r="R147" s="52" t="s">
        <v>320</v>
      </c>
      <c r="S147" s="52" t="s">
        <v>319</v>
      </c>
      <c r="T147" s="52" t="s">
        <v>319</v>
      </c>
      <c r="U147" s="342"/>
      <c r="V147" s="52" t="s">
        <v>319</v>
      </c>
      <c r="W147" s="52" t="s">
        <v>319</v>
      </c>
      <c r="X147" s="52" t="s">
        <v>319</v>
      </c>
      <c r="Y147" s="52"/>
      <c r="Z147" s="53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3"/>
      <c r="AO147" s="47"/>
      <c r="AP147" s="53">
        <f t="shared" si="54"/>
        <v>0</v>
      </c>
      <c r="AQ147" s="51"/>
      <c r="AR147" s="359">
        <f t="shared" si="52"/>
        <v>0</v>
      </c>
    </row>
    <row r="148" spans="1:46" s="36" customFormat="1" ht="15.75" x14ac:dyDescent="0.25">
      <c r="A148" s="113" t="s">
        <v>744</v>
      </c>
      <c r="B148" s="113" t="s">
        <v>733</v>
      </c>
      <c r="C148" s="52" t="s">
        <v>824</v>
      </c>
      <c r="D148" s="52" t="s">
        <v>45</v>
      </c>
      <c r="E148" s="52" t="s">
        <v>45</v>
      </c>
      <c r="F148" s="34"/>
      <c r="G148" s="52" t="s">
        <v>623</v>
      </c>
      <c r="H148" s="52" t="s">
        <v>320</v>
      </c>
      <c r="I148" s="52"/>
      <c r="J148" s="52" t="s">
        <v>320</v>
      </c>
      <c r="K148" s="87">
        <v>44713</v>
      </c>
      <c r="L148" s="87">
        <v>44713</v>
      </c>
      <c r="M148" s="52">
        <v>44758</v>
      </c>
      <c r="N148" s="52">
        <f>L148+45</f>
        <v>44758</v>
      </c>
      <c r="O148" s="88" t="e">
        <f>N148-J148</f>
        <v>#VALUE!</v>
      </c>
      <c r="P148" s="50">
        <f>M148-K148</f>
        <v>45</v>
      </c>
      <c r="Q148" s="50">
        <f>N148-L148</f>
        <v>45</v>
      </c>
      <c r="R148" s="52" t="s">
        <v>320</v>
      </c>
      <c r="S148" s="52">
        <f>N148+30</f>
        <v>44788</v>
      </c>
      <c r="T148" s="52">
        <f>S148+(6*4.3*7)</f>
        <v>44968.6</v>
      </c>
      <c r="U148" s="50">
        <v>5.999999999999952</v>
      </c>
      <c r="V148" s="50">
        <f>((T148-S148)/7)/4.3</f>
        <v>5.999999999999952</v>
      </c>
      <c r="W148" s="50"/>
      <c r="X148" s="52"/>
      <c r="Y148" s="50"/>
      <c r="Z148" s="53">
        <v>750000</v>
      </c>
      <c r="AA148" s="211">
        <v>0</v>
      </c>
      <c r="AB148" s="115">
        <v>0</v>
      </c>
      <c r="AC148" s="115">
        <v>0</v>
      </c>
      <c r="AD148" s="275">
        <v>50000</v>
      </c>
      <c r="AE148" s="275">
        <v>75000</v>
      </c>
      <c r="AF148" s="275">
        <v>130000</v>
      </c>
      <c r="AG148" s="275">
        <v>130000</v>
      </c>
      <c r="AH148" s="275">
        <v>130000</v>
      </c>
      <c r="AI148" s="275">
        <v>130000</v>
      </c>
      <c r="AJ148" s="275">
        <v>105000</v>
      </c>
      <c r="AK148" s="58"/>
      <c r="AL148" s="58"/>
      <c r="AM148" s="58"/>
      <c r="AN148" s="53"/>
      <c r="AO148" s="47"/>
      <c r="AP148" s="53">
        <f>SUM(AA148:AO148)</f>
        <v>750000</v>
      </c>
      <c r="AQ148" s="51"/>
      <c r="AR148" s="359">
        <f>AP148-Z148</f>
        <v>0</v>
      </c>
      <c r="AT148" s="55"/>
    </row>
    <row r="149" spans="1:46" s="36" customFormat="1" ht="15.75" x14ac:dyDescent="0.25">
      <c r="A149" s="113" t="s">
        <v>210</v>
      </c>
      <c r="B149" s="114" t="s">
        <v>211</v>
      </c>
      <c r="C149" s="341"/>
      <c r="D149" s="445" t="s">
        <v>165</v>
      </c>
      <c r="E149" s="445"/>
      <c r="F149" s="52" t="s">
        <v>165</v>
      </c>
      <c r="G149" s="52" t="s">
        <v>165</v>
      </c>
      <c r="H149" s="341"/>
      <c r="I149" s="341"/>
      <c r="J149" s="341"/>
      <c r="K149" s="341"/>
      <c r="L149" s="341" t="s">
        <v>165</v>
      </c>
      <c r="M149" s="341"/>
      <c r="N149" s="341" t="s">
        <v>165</v>
      </c>
      <c r="O149" s="342"/>
      <c r="P149" s="341"/>
      <c r="Q149" s="341" t="s">
        <v>165</v>
      </c>
      <c r="R149" s="52" t="s">
        <v>320</v>
      </c>
      <c r="S149" s="52" t="s">
        <v>165</v>
      </c>
      <c r="T149" s="52" t="s">
        <v>165</v>
      </c>
      <c r="U149" s="342"/>
      <c r="V149" s="52" t="s">
        <v>165</v>
      </c>
      <c r="W149" s="52" t="s">
        <v>165</v>
      </c>
      <c r="X149" s="52" t="s">
        <v>165</v>
      </c>
      <c r="Y149" s="52"/>
      <c r="Z149" s="86"/>
      <c r="AA149" s="58"/>
      <c r="AB149" s="58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47"/>
      <c r="AP149" s="53">
        <f t="shared" si="54"/>
        <v>0</v>
      </c>
      <c r="AQ149" s="51"/>
      <c r="AR149" s="359">
        <f t="shared" si="52"/>
        <v>0</v>
      </c>
    </row>
    <row r="150" spans="1:46" s="36" customFormat="1" ht="15.75" x14ac:dyDescent="0.25">
      <c r="A150" s="113" t="s">
        <v>475</v>
      </c>
      <c r="B150" s="114" t="s">
        <v>655</v>
      </c>
      <c r="C150" s="341"/>
      <c r="D150" s="445" t="s">
        <v>165</v>
      </c>
      <c r="E150" s="445"/>
      <c r="F150" s="52" t="s">
        <v>165</v>
      </c>
      <c r="G150" s="52" t="s">
        <v>165</v>
      </c>
      <c r="H150" s="341" t="s">
        <v>320</v>
      </c>
      <c r="I150" s="341"/>
      <c r="J150" s="341" t="s">
        <v>319</v>
      </c>
      <c r="K150" s="341" t="s">
        <v>319</v>
      </c>
      <c r="L150" s="341" t="s">
        <v>319</v>
      </c>
      <c r="M150" s="341" t="s">
        <v>319</v>
      </c>
      <c r="N150" s="341" t="s">
        <v>319</v>
      </c>
      <c r="O150" s="342"/>
      <c r="P150" s="341" t="s">
        <v>319</v>
      </c>
      <c r="Q150" s="341" t="s">
        <v>319</v>
      </c>
      <c r="R150" s="52" t="s">
        <v>320</v>
      </c>
      <c r="S150" s="52" t="s">
        <v>319</v>
      </c>
      <c r="T150" s="52" t="s">
        <v>319</v>
      </c>
      <c r="U150" s="50" t="s">
        <v>319</v>
      </c>
      <c r="V150" s="52" t="s">
        <v>319</v>
      </c>
      <c r="W150" s="52" t="s">
        <v>319</v>
      </c>
      <c r="X150" s="52" t="s">
        <v>319</v>
      </c>
      <c r="Y150" s="52"/>
      <c r="Z150" s="53"/>
      <c r="AA150" s="53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3"/>
      <c r="AO150" s="47"/>
      <c r="AP150" s="53">
        <f t="shared" si="54"/>
        <v>0</v>
      </c>
      <c r="AQ150" s="51"/>
      <c r="AR150" s="359">
        <f t="shared" si="52"/>
        <v>0</v>
      </c>
    </row>
    <row r="151" spans="1:46" s="36" customFormat="1" ht="15.75" x14ac:dyDescent="0.25">
      <c r="A151" s="113" t="s">
        <v>398</v>
      </c>
      <c r="B151" s="113" t="s">
        <v>703</v>
      </c>
      <c r="C151" s="458" t="s">
        <v>834</v>
      </c>
      <c r="D151" s="445" t="s">
        <v>45</v>
      </c>
      <c r="E151" s="455"/>
      <c r="F151" s="390" t="s">
        <v>702</v>
      </c>
      <c r="G151" s="52" t="s">
        <v>623</v>
      </c>
      <c r="H151" s="341" t="s">
        <v>320</v>
      </c>
      <c r="I151" s="458"/>
      <c r="J151" s="341">
        <v>44592</v>
      </c>
      <c r="K151" s="341"/>
      <c r="L151" s="341" t="s">
        <v>319</v>
      </c>
      <c r="M151" s="341" t="s">
        <v>319</v>
      </c>
      <c r="N151" s="341" t="s">
        <v>319</v>
      </c>
      <c r="O151" s="342"/>
      <c r="P151" s="341" t="s">
        <v>319</v>
      </c>
      <c r="Q151" s="341" t="s">
        <v>319</v>
      </c>
      <c r="R151" s="52" t="s">
        <v>320</v>
      </c>
      <c r="S151" s="52" t="s">
        <v>319</v>
      </c>
      <c r="T151" s="52" t="s">
        <v>319</v>
      </c>
      <c r="U151" s="50" t="s">
        <v>319</v>
      </c>
      <c r="V151" s="52" t="s">
        <v>319</v>
      </c>
      <c r="W151" s="52" t="s">
        <v>319</v>
      </c>
      <c r="X151" s="52" t="s">
        <v>319</v>
      </c>
      <c r="Y151" s="52"/>
      <c r="Z151" s="53">
        <v>2400000</v>
      </c>
      <c r="AA151" s="53"/>
      <c r="AB151" s="58"/>
      <c r="AC151" s="58"/>
      <c r="AD151" s="58"/>
      <c r="AE151" s="58"/>
      <c r="AF151" s="58"/>
      <c r="AG151" s="275">
        <v>250000</v>
      </c>
      <c r="AH151" s="275">
        <v>250000</v>
      </c>
      <c r="AI151" s="275">
        <v>250000</v>
      </c>
      <c r="AJ151" s="275">
        <v>250000</v>
      </c>
      <c r="AK151" s="275">
        <v>250000</v>
      </c>
      <c r="AL151" s="275">
        <v>250000</v>
      </c>
      <c r="AM151" s="275">
        <v>250000</v>
      </c>
      <c r="AN151" s="275">
        <f>125000+525000</f>
        <v>650000</v>
      </c>
      <c r="AO151" s="47"/>
      <c r="AP151" s="53">
        <f t="shared" si="54"/>
        <v>2400000</v>
      </c>
      <c r="AQ151" s="51"/>
      <c r="AR151" s="359">
        <f t="shared" si="52"/>
        <v>0</v>
      </c>
    </row>
    <row r="152" spans="1:46" s="36" customFormat="1" ht="15.75" x14ac:dyDescent="0.25">
      <c r="A152" s="104" t="s">
        <v>337</v>
      </c>
      <c r="B152" s="105" t="s">
        <v>422</v>
      </c>
      <c r="C152" s="341"/>
      <c r="D152" s="445" t="s">
        <v>319</v>
      </c>
      <c r="E152" s="445"/>
      <c r="F152" s="87" t="s">
        <v>319</v>
      </c>
      <c r="G152" s="87" t="s">
        <v>319</v>
      </c>
      <c r="H152" s="341"/>
      <c r="I152" s="341"/>
      <c r="J152" s="341"/>
      <c r="K152" s="341"/>
      <c r="L152" s="341" t="s">
        <v>319</v>
      </c>
      <c r="M152" s="341"/>
      <c r="N152" s="341" t="s">
        <v>319</v>
      </c>
      <c r="O152" s="342"/>
      <c r="P152" s="341"/>
      <c r="Q152" s="341" t="s">
        <v>319</v>
      </c>
      <c r="R152" s="87" t="s">
        <v>320</v>
      </c>
      <c r="S152" s="52" t="s">
        <v>319</v>
      </c>
      <c r="T152" s="52" t="s">
        <v>319</v>
      </c>
      <c r="U152" s="342"/>
      <c r="V152" s="52" t="s">
        <v>319</v>
      </c>
      <c r="W152" s="52" t="s">
        <v>319</v>
      </c>
      <c r="X152" s="52" t="s">
        <v>319</v>
      </c>
      <c r="Y152" s="52"/>
      <c r="Z152" s="181">
        <v>37392</v>
      </c>
      <c r="AA152" s="58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47"/>
      <c r="AP152" s="53">
        <f t="shared" si="54"/>
        <v>0</v>
      </c>
      <c r="AQ152" s="51"/>
      <c r="AR152" s="359">
        <f t="shared" si="52"/>
        <v>-37392</v>
      </c>
    </row>
    <row r="153" spans="1:46" s="36" customFormat="1" ht="15.75" x14ac:dyDescent="0.25">
      <c r="A153" s="283" t="s">
        <v>340</v>
      </c>
      <c r="B153" s="56" t="s">
        <v>429</v>
      </c>
      <c r="C153" s="341"/>
      <c r="D153" s="445" t="s">
        <v>319</v>
      </c>
      <c r="E153" s="445"/>
      <c r="F153" s="87" t="s">
        <v>319</v>
      </c>
      <c r="G153" s="87" t="s">
        <v>319</v>
      </c>
      <c r="H153" s="341"/>
      <c r="I153" s="341"/>
      <c r="J153" s="341"/>
      <c r="K153" s="341"/>
      <c r="L153" s="341" t="s">
        <v>319</v>
      </c>
      <c r="M153" s="341"/>
      <c r="N153" s="341" t="s">
        <v>319</v>
      </c>
      <c r="O153" s="342"/>
      <c r="P153" s="341"/>
      <c r="Q153" s="341" t="s">
        <v>319</v>
      </c>
      <c r="R153" s="52" t="s">
        <v>320</v>
      </c>
      <c r="S153" s="52" t="s">
        <v>319</v>
      </c>
      <c r="T153" s="87" t="s">
        <v>319</v>
      </c>
      <c r="U153" s="342"/>
      <c r="V153" s="52" t="s">
        <v>319</v>
      </c>
      <c r="W153" s="52" t="s">
        <v>319</v>
      </c>
      <c r="X153" s="52" t="s">
        <v>319</v>
      </c>
      <c r="Y153" s="52"/>
      <c r="Z153" s="182">
        <v>3575</v>
      </c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3"/>
      <c r="AO153" s="47"/>
      <c r="AP153" s="53">
        <f t="shared" si="54"/>
        <v>0</v>
      </c>
      <c r="AQ153" s="51"/>
      <c r="AR153" s="359">
        <f t="shared" si="52"/>
        <v>-3575</v>
      </c>
    </row>
    <row r="154" spans="1:46" s="36" customFormat="1" ht="15.75" x14ac:dyDescent="0.25">
      <c r="A154" s="185" t="s">
        <v>800</v>
      </c>
      <c r="B154" s="113" t="s">
        <v>797</v>
      </c>
      <c r="C154" s="87" t="s">
        <v>817</v>
      </c>
      <c r="D154" s="394" t="s">
        <v>45</v>
      </c>
      <c r="E154" s="422" t="s">
        <v>890</v>
      </c>
      <c r="F154" s="56"/>
      <c r="G154" s="52" t="s">
        <v>623</v>
      </c>
      <c r="H154" s="52" t="s">
        <v>320</v>
      </c>
      <c r="I154" s="435"/>
      <c r="J154" s="329">
        <v>44566</v>
      </c>
      <c r="K154" s="52"/>
      <c r="L154" s="87"/>
      <c r="M154" s="87"/>
      <c r="N154" s="87"/>
      <c r="O154" s="88">
        <f>N154-J154</f>
        <v>-44566</v>
      </c>
      <c r="P154" s="50">
        <f>M154-K154</f>
        <v>0</v>
      </c>
      <c r="Q154" s="50">
        <f>N154-L154</f>
        <v>0</v>
      </c>
      <c r="R154" s="52" t="s">
        <v>320</v>
      </c>
      <c r="S154" s="52"/>
      <c r="T154" s="52"/>
      <c r="U154" s="50"/>
      <c r="V154" s="378"/>
      <c r="W154" s="50"/>
      <c r="X154" s="52"/>
      <c r="Y154" s="50"/>
      <c r="Z154" s="53"/>
      <c r="AA154" s="211">
        <v>0</v>
      </c>
      <c r="AB154" s="115">
        <v>0</v>
      </c>
      <c r="AC154" s="115">
        <v>0</v>
      </c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3"/>
      <c r="AO154" s="47"/>
      <c r="AP154" s="53">
        <f>SUM(AA154:AO154)</f>
        <v>0</v>
      </c>
      <c r="AQ154" s="51"/>
      <c r="AR154" s="359">
        <f>AP154-Z154</f>
        <v>0</v>
      </c>
    </row>
    <row r="155" spans="1:46" s="36" customFormat="1" ht="15.75" x14ac:dyDescent="0.25">
      <c r="A155" s="93"/>
      <c r="B155" s="94"/>
      <c r="C155" s="436"/>
      <c r="D155" s="445"/>
      <c r="E155" s="471"/>
      <c r="F155" s="94"/>
      <c r="G155" s="91"/>
      <c r="H155" s="91"/>
      <c r="I155" s="436"/>
      <c r="J155" s="91"/>
      <c r="K155" s="91"/>
      <c r="L155" s="91"/>
      <c r="M155" s="91"/>
      <c r="N155" s="91"/>
      <c r="O155" s="92"/>
      <c r="P155" s="91"/>
      <c r="Q155" s="92"/>
      <c r="R155" s="91"/>
      <c r="S155" s="91"/>
      <c r="T155" s="91"/>
      <c r="U155" s="92"/>
      <c r="V155" s="92"/>
      <c r="W155" s="92"/>
      <c r="X155" s="91"/>
      <c r="Y155" s="92"/>
      <c r="Z155" s="243">
        <f t="shared" ref="Z155:AN155" si="55">SUM(Z122:Z153)</f>
        <v>6907896.9000000004</v>
      </c>
      <c r="AA155" s="243"/>
      <c r="AB155" s="243">
        <f t="shared" si="55"/>
        <v>0</v>
      </c>
      <c r="AC155" s="243">
        <f t="shared" si="55"/>
        <v>0</v>
      </c>
      <c r="AD155" s="243">
        <f t="shared" si="55"/>
        <v>175000</v>
      </c>
      <c r="AE155" s="243">
        <f t="shared" si="55"/>
        <v>200000</v>
      </c>
      <c r="AF155" s="243">
        <f t="shared" si="55"/>
        <v>255000</v>
      </c>
      <c r="AG155" s="243">
        <f t="shared" si="55"/>
        <v>485000</v>
      </c>
      <c r="AH155" s="243">
        <f t="shared" si="55"/>
        <v>380000</v>
      </c>
      <c r="AI155" s="243">
        <f t="shared" si="55"/>
        <v>380000</v>
      </c>
      <c r="AJ155" s="243">
        <f t="shared" si="55"/>
        <v>355000</v>
      </c>
      <c r="AK155" s="243">
        <f t="shared" si="55"/>
        <v>250000</v>
      </c>
      <c r="AL155" s="243">
        <f t="shared" si="55"/>
        <v>450000</v>
      </c>
      <c r="AM155" s="243">
        <f t="shared" si="55"/>
        <v>250000</v>
      </c>
      <c r="AN155" s="243">
        <f t="shared" si="55"/>
        <v>650000</v>
      </c>
      <c r="AO155" s="47"/>
      <c r="AP155" s="53">
        <f t="shared" si="54"/>
        <v>3830000</v>
      </c>
      <c r="AQ155" s="51"/>
      <c r="AR155" s="359">
        <f t="shared" si="52"/>
        <v>-3077896.9000000004</v>
      </c>
    </row>
    <row r="156" spans="1:46" s="78" customFormat="1" ht="15.75" x14ac:dyDescent="0.25">
      <c r="A156"/>
      <c r="B156"/>
      <c r="C156" s="74"/>
      <c r="D156" s="445"/>
      <c r="E156" s="470"/>
      <c r="F156"/>
      <c r="G156" s="74"/>
      <c r="H156" s="74"/>
      <c r="I156" s="74"/>
      <c r="J156" s="74"/>
      <c r="K156" s="74"/>
      <c r="L156" s="295"/>
      <c r="M156" s="295"/>
      <c r="N156" s="295"/>
      <c r="O156" s="296"/>
      <c r="P156" s="295"/>
      <c r="Q156" s="296"/>
      <c r="R156" s="74"/>
      <c r="S156" s="74"/>
      <c r="T156" s="74"/>
      <c r="U156" s="296"/>
      <c r="V156" s="38"/>
      <c r="W156" s="38"/>
      <c r="X156" s="293"/>
      <c r="Y156" s="3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130"/>
      <c r="AO156" s="47"/>
      <c r="AQ156" s="79"/>
      <c r="AR156" s="361"/>
    </row>
    <row r="157" spans="1:46" s="78" customFormat="1" ht="15.75" x14ac:dyDescent="0.25">
      <c r="A157"/>
      <c r="B157"/>
      <c r="C157" s="74"/>
      <c r="D157" s="445"/>
      <c r="E157" s="470"/>
      <c r="F157"/>
      <c r="G157" s="74"/>
      <c r="H157" s="74"/>
      <c r="I157" s="74"/>
      <c r="J157" s="74"/>
      <c r="K157" s="74"/>
      <c r="L157" s="295"/>
      <c r="M157" s="295"/>
      <c r="N157" s="295"/>
      <c r="O157" s="296"/>
      <c r="P157" s="295"/>
      <c r="Q157" s="296"/>
      <c r="R157" s="74"/>
      <c r="S157" s="74"/>
      <c r="T157" s="74"/>
      <c r="U157" s="296"/>
      <c r="V157" s="38"/>
      <c r="W157" s="38"/>
      <c r="X157" s="293"/>
      <c r="Y157" s="38"/>
      <c r="AA157" s="277"/>
      <c r="AB157" s="277"/>
      <c r="AC157" s="277"/>
      <c r="AD157" s="277"/>
      <c r="AE157" s="277"/>
      <c r="AF157" s="277"/>
      <c r="AG157" s="277"/>
      <c r="AH157" s="277"/>
      <c r="AI157" s="277"/>
      <c r="AJ157" s="277"/>
      <c r="AK157" s="277"/>
      <c r="AL157" s="277"/>
      <c r="AM157" s="277"/>
      <c r="AO157" s="47"/>
      <c r="AQ157" s="79"/>
      <c r="AR157" s="361"/>
    </row>
    <row r="158" spans="1:46" s="78" customFormat="1" ht="15.75" x14ac:dyDescent="0.25">
      <c r="A158"/>
      <c r="B158"/>
      <c r="C158" s="74"/>
      <c r="D158" s="445"/>
      <c r="E158" s="470"/>
      <c r="F158"/>
      <c r="G158" s="74"/>
      <c r="H158" s="74"/>
      <c r="I158" s="74"/>
      <c r="J158" s="74"/>
      <c r="K158" s="74"/>
      <c r="L158" s="295"/>
      <c r="M158" s="295"/>
      <c r="N158" s="295"/>
      <c r="O158" s="296"/>
      <c r="P158" s="295"/>
      <c r="Q158" s="296"/>
      <c r="R158" s="74"/>
      <c r="S158" s="74"/>
      <c r="T158" s="74"/>
      <c r="U158" s="296"/>
      <c r="V158" s="38"/>
      <c r="W158" s="38"/>
      <c r="X158" s="293"/>
      <c r="Y158" s="38"/>
      <c r="AA158" s="277"/>
      <c r="AB158" s="277"/>
      <c r="AC158" s="277"/>
      <c r="AD158" s="277"/>
      <c r="AE158" s="277"/>
      <c r="AF158" s="277"/>
      <c r="AG158" s="277"/>
      <c r="AH158" s="277"/>
      <c r="AI158" s="277"/>
      <c r="AJ158" s="277"/>
      <c r="AK158" s="277"/>
      <c r="AL158" s="277"/>
      <c r="AM158" s="277"/>
      <c r="AO158" s="47"/>
      <c r="AQ158" s="79"/>
      <c r="AR158" s="361"/>
    </row>
    <row r="159" spans="1:46" s="78" customFormat="1" ht="15.75" x14ac:dyDescent="0.25">
      <c r="A159"/>
      <c r="B159"/>
      <c r="C159" s="74"/>
      <c r="D159" s="445"/>
      <c r="E159" s="470"/>
      <c r="F159"/>
      <c r="G159" s="74"/>
      <c r="H159" s="74"/>
      <c r="I159" s="74"/>
      <c r="J159" s="74"/>
      <c r="K159" s="74"/>
      <c r="L159" s="295"/>
      <c r="M159" s="295"/>
      <c r="N159" s="295"/>
      <c r="O159" s="296"/>
      <c r="P159" s="295"/>
      <c r="Q159" s="296"/>
      <c r="R159" s="74"/>
      <c r="S159" s="74"/>
      <c r="T159" s="74"/>
      <c r="U159" s="296"/>
      <c r="V159" s="38"/>
      <c r="W159" s="38"/>
      <c r="X159" s="293"/>
      <c r="Y159" s="38"/>
      <c r="AA159" s="277"/>
      <c r="AB159" s="277"/>
      <c r="AC159" s="277"/>
      <c r="AD159" s="277"/>
      <c r="AE159" s="277"/>
      <c r="AF159" s="277"/>
      <c r="AG159" s="277"/>
      <c r="AH159" s="277"/>
      <c r="AI159" s="277"/>
      <c r="AJ159" s="277"/>
      <c r="AK159" s="277"/>
      <c r="AL159" s="277"/>
      <c r="AM159" s="277"/>
      <c r="AO159" s="47"/>
      <c r="AQ159" s="79"/>
      <c r="AR159" s="361"/>
    </row>
    <row r="160" spans="1:46" s="78" customFormat="1" ht="15.75" x14ac:dyDescent="0.25">
      <c r="A160"/>
      <c r="B160"/>
      <c r="C160" s="74"/>
      <c r="D160" s="445"/>
      <c r="E160" s="470"/>
      <c r="F160"/>
      <c r="G160" s="74"/>
      <c r="H160" s="74"/>
      <c r="I160" s="74"/>
      <c r="J160" s="74"/>
      <c r="K160" s="74"/>
      <c r="L160" s="295"/>
      <c r="M160" s="295"/>
      <c r="N160" s="295"/>
      <c r="O160" s="296"/>
      <c r="P160" s="295"/>
      <c r="Q160" s="296"/>
      <c r="R160" s="74"/>
      <c r="S160" s="74"/>
      <c r="T160" s="74"/>
      <c r="U160" s="296"/>
      <c r="V160" s="38"/>
      <c r="W160" s="38"/>
      <c r="X160" s="293"/>
      <c r="Y160" s="38"/>
      <c r="AA160" s="277"/>
      <c r="AB160" s="277"/>
      <c r="AC160" s="277"/>
      <c r="AD160" s="277"/>
      <c r="AE160" s="277"/>
      <c r="AF160" s="277"/>
      <c r="AG160" s="277"/>
      <c r="AH160" s="277"/>
      <c r="AI160" s="277"/>
      <c r="AJ160" s="277"/>
      <c r="AK160" s="277"/>
      <c r="AL160" s="277"/>
      <c r="AM160" s="277"/>
      <c r="AO160" s="47"/>
      <c r="AQ160" s="79"/>
      <c r="AR160" s="361"/>
    </row>
    <row r="161" spans="1:44" s="78" customFormat="1" ht="15.75" x14ac:dyDescent="0.25">
      <c r="A161"/>
      <c r="B161"/>
      <c r="C161" s="74"/>
      <c r="D161" s="445"/>
      <c r="E161" s="470"/>
      <c r="F161"/>
      <c r="G161" s="74"/>
      <c r="H161" s="74"/>
      <c r="I161" s="74"/>
      <c r="J161" s="74"/>
      <c r="K161" s="74"/>
      <c r="L161" s="295"/>
      <c r="M161" s="295"/>
      <c r="N161" s="295"/>
      <c r="O161" s="296"/>
      <c r="P161" s="295"/>
      <c r="Q161" s="296"/>
      <c r="R161" s="74"/>
      <c r="S161" s="74"/>
      <c r="T161" s="74"/>
      <c r="U161" s="296"/>
      <c r="V161" s="38"/>
      <c r="W161" s="38"/>
      <c r="X161" s="293"/>
      <c r="Y161" s="38"/>
      <c r="AA161" s="277"/>
      <c r="AB161" s="277"/>
      <c r="AC161" s="277"/>
      <c r="AD161" s="277"/>
      <c r="AE161" s="277"/>
      <c r="AF161" s="277"/>
      <c r="AG161" s="277"/>
      <c r="AH161" s="277"/>
      <c r="AI161" s="277"/>
      <c r="AJ161" s="277"/>
      <c r="AK161" s="277"/>
      <c r="AL161" s="277"/>
      <c r="AM161" s="277"/>
      <c r="AO161" s="47"/>
      <c r="AQ161" s="79"/>
      <c r="AR161" s="361"/>
    </row>
    <row r="162" spans="1:44" s="78" customFormat="1" x14ac:dyDescent="0.25">
      <c r="A162"/>
      <c r="B162"/>
      <c r="C162" s="74"/>
      <c r="D162" s="445"/>
      <c r="E162" s="470"/>
      <c r="F162"/>
      <c r="G162" s="74"/>
      <c r="H162" s="74"/>
      <c r="I162" s="74"/>
      <c r="J162" s="74"/>
      <c r="K162" s="74"/>
      <c r="L162" s="295"/>
      <c r="M162" s="295"/>
      <c r="N162" s="295"/>
      <c r="O162" s="296"/>
      <c r="P162" s="295"/>
      <c r="Q162" s="296"/>
      <c r="R162" s="74"/>
      <c r="S162" s="74"/>
      <c r="T162" s="74"/>
      <c r="U162" s="296"/>
      <c r="V162" s="38"/>
      <c r="W162" s="38"/>
      <c r="X162" s="293"/>
      <c r="Y162" s="38"/>
      <c r="AA162" s="277"/>
      <c r="AB162" s="277"/>
      <c r="AC162" s="277"/>
      <c r="AD162" s="277"/>
      <c r="AE162" s="277"/>
      <c r="AF162" s="277"/>
      <c r="AG162" s="277"/>
      <c r="AH162" s="277"/>
      <c r="AI162" s="277"/>
      <c r="AJ162" s="277"/>
      <c r="AK162" s="277"/>
      <c r="AL162" s="277"/>
      <c r="AM162" s="277"/>
      <c r="AO162" s="79"/>
      <c r="AQ162" s="79"/>
      <c r="AR162" s="361"/>
    </row>
    <row r="163" spans="1:44" s="78" customFormat="1" x14ac:dyDescent="0.25">
      <c r="A163"/>
      <c r="B163"/>
      <c r="C163" s="74"/>
      <c r="D163" s="445"/>
      <c r="E163" s="470"/>
      <c r="F163"/>
      <c r="G163" s="74"/>
      <c r="H163" s="74"/>
      <c r="I163" s="74"/>
      <c r="J163" s="74"/>
      <c r="K163" s="74"/>
      <c r="L163" s="295"/>
      <c r="M163" s="295"/>
      <c r="N163" s="295"/>
      <c r="O163" s="296"/>
      <c r="P163" s="295"/>
      <c r="Q163" s="296"/>
      <c r="R163" s="74"/>
      <c r="S163" s="74"/>
      <c r="T163" s="74"/>
      <c r="U163" s="296"/>
      <c r="V163" s="38"/>
      <c r="W163" s="38"/>
      <c r="X163" s="293"/>
      <c r="Y163" s="38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277"/>
      <c r="AL163" s="277"/>
      <c r="AM163" s="277"/>
      <c r="AO163" s="79"/>
      <c r="AQ163" s="79"/>
      <c r="AR163" s="361"/>
    </row>
  </sheetData>
  <protectedRanges>
    <protectedRange algorithmName="SHA-512" hashValue="p1zaDFJkdjN+AnmfzFBjbFKRbWYOQQg+cT1DzqDhOzloqO83qQsI/t5kPN30lmEEP3guKkM4uc2fEPeaztRBYA==" saltValue="+Rl2QHA+Wv31lMWEuJdOoQ==" spinCount="100000" sqref="K28:O28" name="Nolan_21"/>
    <protectedRange algorithmName="SHA-512" hashValue="7kKMQlnDQnaF2pWl7cOum7Q4v5K+/RuncQjNwOX/9VMC6IpRzPVvdGKHyOugwdH0ncs0E84+2rLp7ry6I8ErdA==" saltValue="jtLfJTgX02XzBGTPnDDc1A==" spinCount="100000" sqref="F13" name="Peggy_1"/>
    <protectedRange algorithmName="SHA-512" hashValue="p1zaDFJkdjN+AnmfzFBjbFKRbWYOQQg+cT1DzqDhOzloqO83qQsI/t5kPN30lmEEP3guKkM4uc2fEPeaztRBYA==" saltValue="+Rl2QHA+Wv31lMWEuJdOoQ==" spinCount="100000" sqref="K13:N13 L14:L15 P13" name="Nolan"/>
    <protectedRange algorithmName="SHA-512" hashValue="7kKMQlnDQnaF2pWl7cOum7Q4v5K+/RuncQjNwOX/9VMC6IpRzPVvdGKHyOugwdH0ncs0E84+2rLp7ry6I8ErdA==" saltValue="jtLfJTgX02XzBGTPnDDc1A==" spinCount="100000" sqref="F14" name="Peggy_3"/>
    <protectedRange algorithmName="SHA-512" hashValue="p1zaDFJkdjN+AnmfzFBjbFKRbWYOQQg+cT1DzqDhOzloqO83qQsI/t5kPN30lmEEP3guKkM4uc2fEPeaztRBYA==" saltValue="+Rl2QHA+Wv31lMWEuJdOoQ==" spinCount="100000" sqref="K14 M14:N14 P14" name="Nolan_2"/>
    <protectedRange algorithmName="SHA-512" hashValue="p1zaDFJkdjN+AnmfzFBjbFKRbWYOQQg+cT1DzqDhOzloqO83qQsI/t5kPN30lmEEP3guKkM4uc2fEPeaztRBYA==" saltValue="+Rl2QHA+Wv31lMWEuJdOoQ==" spinCount="100000" sqref="L6:P6" name="Nolan_13_1"/>
    <protectedRange algorithmName="SHA-512" hashValue="p1zaDFJkdjN+AnmfzFBjbFKRbWYOQQg+cT1DzqDhOzloqO83qQsI/t5kPN30lmEEP3guKkM4uc2fEPeaztRBYA==" saltValue="+Rl2QHA+Wv31lMWEuJdOoQ==" spinCount="100000" sqref="N26:O26 N60:O60" name="Nolan_3"/>
  </protectedRanges>
  <autoFilter ref="A2:AT93" xr:uid="{03440E11-61FF-4873-A9FE-40198335FF64}"/>
  <mergeCells count="1">
    <mergeCell ref="AB1:AM1"/>
  </mergeCells>
  <conditionalFormatting sqref="AP122:AP131 AP38:AP39 AP42:AP50 AP4:AP22 AP101:AP106 AP134:AP154 AP35 AP24:AP33 AP79:AP93 AP61:AP76 AP53:AP58">
    <cfRule type="cellIs" dxfId="339" priority="164" operator="lessThan">
      <formula>Z4</formula>
    </cfRule>
    <cfRule type="cellIs" dxfId="338" priority="165" operator="greaterThan">
      <formula>Z4</formula>
    </cfRule>
    <cfRule type="cellIs" dxfId="337" priority="166" operator="equal">
      <formula>Z4</formula>
    </cfRule>
  </conditionalFormatting>
  <conditionalFormatting sqref="R111:R113 R115:R118 R156:R1048576 R122:R125 H43:H45 H3:H20 H101:H105 H148 R101:R106 R127:R154 H24:H35 R2:R33 H79:H81 H61:H68 H70 R84:R99 R71:R82 H53:H58 R35:R49 R51:R69">
    <cfRule type="cellIs" dxfId="336" priority="162" operator="equal">
      <formula>"no"</formula>
    </cfRule>
    <cfRule type="cellIs" dxfId="335" priority="163" operator="equal">
      <formula>"yes"</formula>
    </cfRule>
  </conditionalFormatting>
  <conditionalFormatting sqref="Z122:Z125 AA59 Z13:Z20 Z101:Z106 Z127:Z154 Z25:Z38 Z79:Z93 Z40:Z77">
    <cfRule type="cellIs" dxfId="334" priority="161" operator="equal">
      <formula>0</formula>
    </cfRule>
  </conditionalFormatting>
  <conditionalFormatting sqref="S149:T149 S130:T130 S77:U77 S122:T127 L24:M25 V130:Y130 V149:Y149 V122:Y127 V152:Y154 S152:T154 F41:H41 R1 S150:Y151 F46:H46 F14:H15 F23:H23 F5:H5 F1:H2 F3:G4 F36:H37 F38:G40 W77:Y77 F42:G45 F47:G51 H43:H45 H47:H50 G13:H13 G16:H20 D18:F20 J23:K25 F24:G35 G6:G12 F6:F13 F16:F17 F21:G22 J1:Q22 H29:H35 N23:Q25 H25 R70 F52:H53 R50:Y50 R83:Y83 J26:Q1048576 D1:E17 D21:E53 D54:H1048576">
    <cfRule type="cellIs" dxfId="333" priority="160" operator="equal">
      <formula>"TBD"</formula>
    </cfRule>
  </conditionalFormatting>
  <conditionalFormatting sqref="AA98:AN98">
    <cfRule type="cellIs" dxfId="332" priority="149" operator="equal">
      <formula>0</formula>
    </cfRule>
    <cfRule type="cellIs" dxfId="331" priority="158" operator="lessThan">
      <formula>0</formula>
    </cfRule>
    <cfRule type="cellIs" dxfId="330" priority="159" operator="greaterThan">
      <formula>0</formula>
    </cfRule>
  </conditionalFormatting>
  <conditionalFormatting sqref="R106:R110">
    <cfRule type="cellIs" dxfId="329" priority="156" operator="equal">
      <formula>"no"</formula>
    </cfRule>
    <cfRule type="cellIs" dxfId="328" priority="157" operator="equal">
      <formula>"yes"</formula>
    </cfRule>
  </conditionalFormatting>
  <conditionalFormatting sqref="AA106:AA107 AA114 AA119:AA155 AR101:AR106 AR121:AR155 AR3:AR33 AR35:AR96">
    <cfRule type="cellIs" dxfId="327" priority="154" operator="lessThan">
      <formula>0</formula>
    </cfRule>
    <cfRule type="cellIs" dxfId="326" priority="155" operator="greaterThan">
      <formula>0</formula>
    </cfRule>
  </conditionalFormatting>
  <conditionalFormatting sqref="R114">
    <cfRule type="cellIs" dxfId="325" priority="152" operator="equal">
      <formula>"no"</formula>
    </cfRule>
    <cfRule type="cellIs" dxfId="324" priority="153" operator="equal">
      <formula>"yes"</formula>
    </cfRule>
  </conditionalFormatting>
  <conditionalFormatting sqref="R119:R155">
    <cfRule type="cellIs" dxfId="323" priority="150" operator="equal">
      <formula>"no"</formula>
    </cfRule>
    <cfRule type="cellIs" dxfId="322" priority="151" operator="equal">
      <formula>"yes"</formula>
    </cfRule>
  </conditionalFormatting>
  <conditionalFormatting sqref="R3:R6 R21:R22">
    <cfRule type="cellIs" dxfId="321" priority="147" operator="equal">
      <formula>"no"</formula>
    </cfRule>
    <cfRule type="cellIs" dxfId="320" priority="148" operator="equal">
      <formula>"yes"</formula>
    </cfRule>
  </conditionalFormatting>
  <conditionalFormatting sqref="J3:Q6">
    <cfRule type="cellIs" dxfId="319" priority="146" operator="equal">
      <formula>"TBD"</formula>
    </cfRule>
  </conditionalFormatting>
  <conditionalFormatting sqref="AP132">
    <cfRule type="cellIs" dxfId="318" priority="143" operator="lessThan">
      <formula>Z132</formula>
    </cfRule>
    <cfRule type="cellIs" dxfId="317" priority="144" operator="greaterThan">
      <formula>Z132</formula>
    </cfRule>
    <cfRule type="cellIs" dxfId="316" priority="145" operator="equal">
      <formula>Z132</formula>
    </cfRule>
  </conditionalFormatting>
  <conditionalFormatting sqref="R154">
    <cfRule type="cellIs" dxfId="315" priority="141" operator="equal">
      <formula>"no"</formula>
    </cfRule>
    <cfRule type="cellIs" dxfId="314" priority="142" operator="equal">
      <formula>"yes"</formula>
    </cfRule>
  </conditionalFormatting>
  <conditionalFormatting sqref="N154 Q154 J154:L154">
    <cfRule type="cellIs" dxfId="313" priority="140" operator="equal">
      <formula>"TBD"</formula>
    </cfRule>
  </conditionalFormatting>
  <conditionalFormatting sqref="R21:R22">
    <cfRule type="cellIs" dxfId="312" priority="138" operator="equal">
      <formula>"no"</formula>
    </cfRule>
    <cfRule type="cellIs" dxfId="311" priority="139" operator="equal">
      <formula>"yes"</formula>
    </cfRule>
  </conditionalFormatting>
  <conditionalFormatting sqref="J3:Q6">
    <cfRule type="cellIs" dxfId="310" priority="137" operator="equal">
      <formula>"TBD"</formula>
    </cfRule>
  </conditionalFormatting>
  <conditionalFormatting sqref="F54 L54 N54 P54">
    <cfRule type="cellIs" dxfId="309" priority="136" operator="equal">
      <formula>"TBD"</formula>
    </cfRule>
  </conditionalFormatting>
  <conditionalFormatting sqref="R46">
    <cfRule type="cellIs" dxfId="308" priority="134" operator="equal">
      <formula>"no"</formula>
    </cfRule>
    <cfRule type="cellIs" dxfId="307" priority="135" operator="equal">
      <formula>"yes"</formula>
    </cfRule>
  </conditionalFormatting>
  <conditionalFormatting sqref="S77:U77 L24:M25 F127:F1048576 S122:T149 V152:Y154 S152:T154 F41:H41 G126:H1048576 R1 S150:Y151 V122:Y149 F46:H46 F14:H15 F5:H5 F23:H23 F3:G4 W77:Y77 F1:H2 F42:G45 F47:G51 H43:H45 H47:H50 G13:H13 G16:H20 D18:F20 F101:H125 J23:K25 G6:G12 F6:F13 F16:F17 F21:G22 J1:Q22 F24:G40 H29:H37 N23:Q25 H25 R70 F52:H60 R50:Y50 R83:Y83 J26:Q1048576 D1:E17 D21:E60 D61:H100 D101:E1048576">
    <cfRule type="containsText" dxfId="306" priority="132" operator="containsText" text="DEAD">
      <formula>NOT(ISERROR(SEARCH("DEAD",D1)))</formula>
    </cfRule>
    <cfRule type="containsText" dxfId="305" priority="133" operator="containsText" text="HOLD">
      <formula>NOT(ISERROR(SEARCH("HOLD",D1)))</formula>
    </cfRule>
  </conditionalFormatting>
  <conditionalFormatting sqref="N13 L13:L15 P13:Q13">
    <cfRule type="cellIs" dxfId="304" priority="131" operator="equal">
      <formula>"TBD"</formula>
    </cfRule>
  </conditionalFormatting>
  <conditionalFormatting sqref="L14 N14 P14:Q14">
    <cfRule type="cellIs" dxfId="303" priority="130" operator="equal">
      <formula>"TBD"</formula>
    </cfRule>
  </conditionalFormatting>
  <conditionalFormatting sqref="R121">
    <cfRule type="cellIs" dxfId="302" priority="128" operator="equal">
      <formula>"no"</formula>
    </cfRule>
    <cfRule type="cellIs" dxfId="301" priority="129" operator="equal">
      <formula>"yes"</formula>
    </cfRule>
  </conditionalFormatting>
  <conditionalFormatting sqref="AP155">
    <cfRule type="cellIs" dxfId="300" priority="125" operator="lessThan">
      <formula>Z155</formula>
    </cfRule>
    <cfRule type="cellIs" dxfId="299" priority="126" operator="greaterThan">
      <formula>Z155</formula>
    </cfRule>
    <cfRule type="cellIs" dxfId="298" priority="127" operator="equal">
      <formula>Z155</formula>
    </cfRule>
  </conditionalFormatting>
  <conditionalFormatting sqref="R155">
    <cfRule type="cellIs" dxfId="297" priority="123" operator="equal">
      <formula>"no"</formula>
    </cfRule>
    <cfRule type="cellIs" dxfId="296" priority="124" operator="equal">
      <formula>"yes"</formula>
    </cfRule>
  </conditionalFormatting>
  <conditionalFormatting sqref="S122:T123 S125:T130 V122:Y123 V125:Y130 F122:H125 J122:Q125 F128:H130 J128:Q130">
    <cfRule type="cellIs" dxfId="295" priority="122" operator="equal">
      <formula>"SOLD"</formula>
    </cfRule>
  </conditionalFormatting>
  <conditionalFormatting sqref="S124:T124 G126:H127 V124:Y124 L126:Q126 J126:K127">
    <cfRule type="cellIs" dxfId="294" priority="121" operator="equal">
      <formula>"SOLD"</formula>
    </cfRule>
  </conditionalFormatting>
  <conditionalFormatting sqref="T153:T154">
    <cfRule type="cellIs" dxfId="293" priority="120" operator="equal">
      <formula>"TBD"</formula>
    </cfRule>
  </conditionalFormatting>
  <conditionalFormatting sqref="S134:T134">
    <cfRule type="cellIs" dxfId="292" priority="119" operator="equal">
      <formula>"TBD"</formula>
    </cfRule>
  </conditionalFormatting>
  <conditionalFormatting sqref="S134:T134">
    <cfRule type="containsText" dxfId="291" priority="117" operator="containsText" text="DEAD">
      <formula>NOT(ISERROR(SEARCH("DEAD",S134)))</formula>
    </cfRule>
    <cfRule type="containsText" dxfId="290" priority="118" operator="containsText" text="HOLD">
      <formula>NOT(ISERROR(SEARCH("HOLD",S134)))</formula>
    </cfRule>
  </conditionalFormatting>
  <conditionalFormatting sqref="Z127">
    <cfRule type="cellIs" dxfId="289" priority="116" operator="equal">
      <formula>0</formula>
    </cfRule>
  </conditionalFormatting>
  <conditionalFormatting sqref="L23:M23">
    <cfRule type="cellIs" dxfId="288" priority="115" operator="equal">
      <formula>"TBD"</formula>
    </cfRule>
  </conditionalFormatting>
  <conditionalFormatting sqref="L23:M23">
    <cfRule type="containsText" dxfId="287" priority="113" operator="containsText" text="DEAD">
      <formula>NOT(ISERROR(SEARCH("DEAD",L23)))</formula>
    </cfRule>
    <cfRule type="containsText" dxfId="286" priority="114" operator="containsText" text="HOLD">
      <formula>NOT(ISERROR(SEARCH("HOLD",L23)))</formula>
    </cfRule>
  </conditionalFormatting>
  <conditionalFormatting sqref="M31:N31 P31 M32:M35">
    <cfRule type="cellIs" dxfId="285" priority="112" operator="equal">
      <formula>"TBD"</formula>
    </cfRule>
  </conditionalFormatting>
  <conditionalFormatting sqref="M31:N31 P31 M32:M35">
    <cfRule type="containsText" dxfId="284" priority="110" operator="containsText" text="DEAD">
      <formula>NOT(ISERROR(SEARCH("DEAD",M31)))</formula>
    </cfRule>
    <cfRule type="containsText" dxfId="283" priority="111" operator="containsText" text="HOLD">
      <formula>NOT(ISERROR(SEARCH("HOLD",M31)))</formula>
    </cfRule>
  </conditionalFormatting>
  <conditionalFormatting sqref="V129 V136:V137 V127 V9 V4:V6 V38:V39 V11:V21 V42:V49 V143:V148 V101:V106 V154 V25:V35 V70:Y70 V61:V69 V71:V76 V79:V82 V53:V58 V84:V93">
    <cfRule type="cellIs" dxfId="282" priority="109" operator="equal">
      <formula>0</formula>
    </cfRule>
  </conditionalFormatting>
  <conditionalFormatting sqref="V42:V49">
    <cfRule type="cellIs" dxfId="281" priority="108" operator="equal">
      <formula>0</formula>
    </cfRule>
  </conditionalFormatting>
  <conditionalFormatting sqref="V82">
    <cfRule type="cellIs" dxfId="280" priority="107" operator="equal">
      <formula>0</formula>
    </cfRule>
  </conditionalFormatting>
  <conditionalFormatting sqref="R126:R127">
    <cfRule type="cellIs" dxfId="279" priority="105" operator="equal">
      <formula>"no"</formula>
    </cfRule>
    <cfRule type="cellIs" dxfId="278" priority="106" operator="equal">
      <formula>"yes"</formula>
    </cfRule>
  </conditionalFormatting>
  <conditionalFormatting sqref="F126:F127 L127:Q127">
    <cfRule type="cellIs" dxfId="277" priority="104" operator="equal">
      <formula>"TBD"</formula>
    </cfRule>
  </conditionalFormatting>
  <conditionalFormatting sqref="F126:F127 L127:Q127">
    <cfRule type="containsText" dxfId="276" priority="102" operator="containsText" text="DEAD">
      <formula>NOT(ISERROR(SEARCH("DEAD",F126)))</formula>
    </cfRule>
    <cfRule type="containsText" dxfId="275" priority="103" operator="containsText" text="HOLD">
      <formula>NOT(ISERROR(SEARCH("HOLD",F126)))</formula>
    </cfRule>
  </conditionalFormatting>
  <conditionalFormatting sqref="Z126:Z127">
    <cfRule type="cellIs" dxfId="274" priority="101" operator="equal">
      <formula>0</formula>
    </cfRule>
  </conditionalFormatting>
  <conditionalFormatting sqref="L16:L20 N16:N20">
    <cfRule type="cellIs" dxfId="273" priority="100" operator="equal">
      <formula>"TBD"</formula>
    </cfRule>
  </conditionalFormatting>
  <conditionalFormatting sqref="L16:L20 N16:N20">
    <cfRule type="containsText" dxfId="272" priority="98" operator="containsText" text="DEAD">
      <formula>NOT(ISERROR(SEARCH("DEAD",L16)))</formula>
    </cfRule>
    <cfRule type="containsText" dxfId="271" priority="99" operator="containsText" text="HOLD">
      <formula>NOT(ISERROR(SEARCH("HOLD",L16)))</formula>
    </cfRule>
  </conditionalFormatting>
  <conditionalFormatting sqref="L127:Q127">
    <cfRule type="cellIs" dxfId="270" priority="97" operator="equal">
      <formula>"SOLD"</formula>
    </cfRule>
  </conditionalFormatting>
  <conditionalFormatting sqref="U149 U130 U122:U127 U152:U154">
    <cfRule type="cellIs" dxfId="269" priority="96" operator="equal">
      <formula>"TBD"</formula>
    </cfRule>
  </conditionalFormatting>
  <conditionalFormatting sqref="U122:U149 U152:U154">
    <cfRule type="containsText" dxfId="268" priority="94" operator="containsText" text="DEAD">
      <formula>NOT(ISERROR(SEARCH("DEAD",U122)))</formula>
    </cfRule>
    <cfRule type="containsText" dxfId="267" priority="95" operator="containsText" text="HOLD">
      <formula>NOT(ISERROR(SEARCH("HOLD",U122)))</formula>
    </cfRule>
  </conditionalFormatting>
  <conditionalFormatting sqref="U122:U123 U125:U130">
    <cfRule type="cellIs" dxfId="266" priority="93" operator="equal">
      <formula>"SOLD"</formula>
    </cfRule>
  </conditionalFormatting>
  <conditionalFormatting sqref="U124">
    <cfRule type="cellIs" dxfId="265" priority="92" operator="equal">
      <formula>"SOLD"</formula>
    </cfRule>
  </conditionalFormatting>
  <conditionalFormatting sqref="U153:U154">
    <cfRule type="cellIs" dxfId="264" priority="91" operator="equal">
      <formula>"TBD"</formula>
    </cfRule>
  </conditionalFormatting>
  <conditionalFormatting sqref="U134">
    <cfRule type="cellIs" dxfId="263" priority="90" operator="equal">
      <formula>"TBD"</formula>
    </cfRule>
  </conditionalFormatting>
  <conditionalFormatting sqref="U134">
    <cfRule type="containsText" dxfId="262" priority="88" operator="containsText" text="DEAD">
      <formula>NOT(ISERROR(SEARCH("DEAD",U134)))</formula>
    </cfRule>
    <cfRule type="containsText" dxfId="261" priority="89" operator="containsText" text="HOLD">
      <formula>NOT(ISERROR(SEARCH("HOLD",U134)))</formula>
    </cfRule>
  </conditionalFormatting>
  <conditionalFormatting sqref="P3:P6">
    <cfRule type="cellIs" dxfId="260" priority="87" operator="equal">
      <formula>"TBD"</formula>
    </cfRule>
  </conditionalFormatting>
  <conditionalFormatting sqref="K54">
    <cfRule type="cellIs" dxfId="259" priority="86" operator="equal">
      <formula>"TBD"</formula>
    </cfRule>
  </conditionalFormatting>
  <conditionalFormatting sqref="K13">
    <cfRule type="cellIs" dxfId="258" priority="85" operator="equal">
      <formula>"TBD"</formula>
    </cfRule>
  </conditionalFormatting>
  <conditionalFormatting sqref="K14">
    <cfRule type="cellIs" dxfId="257" priority="84" operator="equal">
      <formula>"TBD"</formula>
    </cfRule>
  </conditionalFormatting>
  <conditionalFormatting sqref="K16:K20">
    <cfRule type="cellIs" dxfId="256" priority="83" operator="equal">
      <formula>"TBD"</formula>
    </cfRule>
  </conditionalFormatting>
  <conditionalFormatting sqref="K16:K20">
    <cfRule type="containsText" dxfId="255" priority="81" operator="containsText" text="DEAD">
      <formula>NOT(ISERROR(SEARCH("DEAD",K16)))</formula>
    </cfRule>
    <cfRule type="containsText" dxfId="254" priority="82" operator="containsText" text="HOLD">
      <formula>NOT(ISERROR(SEARCH("HOLD",K16)))</formula>
    </cfRule>
  </conditionalFormatting>
  <conditionalFormatting sqref="M54">
    <cfRule type="cellIs" dxfId="253" priority="80" operator="equal">
      <formula>"TBD"</formula>
    </cfRule>
  </conditionalFormatting>
  <conditionalFormatting sqref="M13">
    <cfRule type="cellIs" dxfId="252" priority="79" operator="equal">
      <formula>"TBD"</formula>
    </cfRule>
  </conditionalFormatting>
  <conditionalFormatting sqref="M14">
    <cfRule type="cellIs" dxfId="251" priority="78" operator="equal">
      <formula>"TBD"</formula>
    </cfRule>
  </conditionalFormatting>
  <conditionalFormatting sqref="M16:M20">
    <cfRule type="cellIs" dxfId="250" priority="77" operator="equal">
      <formula>"TBD"</formula>
    </cfRule>
  </conditionalFormatting>
  <conditionalFormatting sqref="M16:M20">
    <cfRule type="containsText" dxfId="249" priority="75" operator="containsText" text="DEAD">
      <formula>NOT(ISERROR(SEARCH("DEAD",M16)))</formula>
    </cfRule>
    <cfRule type="containsText" dxfId="248" priority="76" operator="containsText" text="HOLD">
      <formula>NOT(ISERROR(SEARCH("HOLD",M16)))</formula>
    </cfRule>
  </conditionalFormatting>
  <conditionalFormatting sqref="M5">
    <cfRule type="cellIs" dxfId="247" priority="74" operator="equal">
      <formula>"TBD"</formula>
    </cfRule>
  </conditionalFormatting>
  <conditionalFormatting sqref="M154">
    <cfRule type="cellIs" dxfId="246" priority="73" operator="equal">
      <formula>"TBD"</formula>
    </cfRule>
  </conditionalFormatting>
  <conditionalFormatting sqref="M5">
    <cfRule type="containsText" dxfId="245" priority="71" operator="containsText" text="DEAD">
      <formula>NOT(ISERROR(SEARCH("DEAD",M5)))</formula>
    </cfRule>
    <cfRule type="containsText" dxfId="244" priority="72" operator="containsText" text="HOLD">
      <formula>NOT(ISERROR(SEARCH("HOLD",M5)))</formula>
    </cfRule>
  </conditionalFormatting>
  <conditionalFormatting sqref="H145 H41 H150:H151 J150:Q151 W150:Y151 J144:J145 H23 H43:H50 J101:J105 H13:H20 H148 J148 K31:L35 J106:L106 H106 J154 H154 H29:H37 H25 J3:J93 H52:H93">
    <cfRule type="cellIs" dxfId="243" priority="70" operator="equal">
      <formula>"No"</formula>
    </cfRule>
  </conditionalFormatting>
  <conditionalFormatting sqref="R67">
    <cfRule type="cellIs" dxfId="242" priority="68" operator="equal">
      <formula>"no"</formula>
    </cfRule>
    <cfRule type="cellIs" dxfId="241" priority="69" operator="equal">
      <formula>"yes"</formula>
    </cfRule>
  </conditionalFormatting>
  <conditionalFormatting sqref="AR67">
    <cfRule type="cellIs" dxfId="240" priority="66" operator="lessThan">
      <formula>0</formula>
    </cfRule>
    <cfRule type="cellIs" dxfId="239" priority="67" operator="greaterThan">
      <formula>0</formula>
    </cfRule>
  </conditionalFormatting>
  <conditionalFormatting sqref="H67">
    <cfRule type="cellIs" dxfId="238" priority="65" operator="equal">
      <formula>"No"</formula>
    </cfRule>
  </conditionalFormatting>
  <conditionalFormatting sqref="AP132:AP154 AP33 AP4:AP11">
    <cfRule type="cellIs" dxfId="237" priority="167" operator="greaterThan">
      <formula>$Z$77</formula>
    </cfRule>
    <cfRule type="cellIs" dxfId="236" priority="168" operator="lessThan">
      <formula>$Z$77</formula>
    </cfRule>
    <cfRule type="cellIs" dxfId="235" priority="169" operator="equal">
      <formula>$Z$77</formula>
    </cfRule>
    <cfRule type="cellIs" dxfId="234" priority="170" operator="equal">
      <formula>#REF!</formula>
    </cfRule>
  </conditionalFormatting>
  <conditionalFormatting sqref="H21:H22">
    <cfRule type="cellIs" dxfId="233" priority="63" operator="equal">
      <formula>"no"</formula>
    </cfRule>
    <cfRule type="cellIs" dxfId="232" priority="64" operator="equal">
      <formula>"yes"</formula>
    </cfRule>
  </conditionalFormatting>
  <conditionalFormatting sqref="H21:H22">
    <cfRule type="cellIs" dxfId="231" priority="61" operator="equal">
      <formula>"no"</formula>
    </cfRule>
    <cfRule type="cellIs" dxfId="230" priority="62" operator="equal">
      <formula>"yes"</formula>
    </cfRule>
  </conditionalFormatting>
  <conditionalFormatting sqref="H21:H22">
    <cfRule type="cellIs" dxfId="229" priority="59" operator="equal">
      <formula>"no"</formula>
    </cfRule>
    <cfRule type="cellIs" dxfId="228" priority="60" operator="equal">
      <formula>"yes"</formula>
    </cfRule>
  </conditionalFormatting>
  <conditionalFormatting sqref="H38:H40">
    <cfRule type="cellIs" dxfId="227" priority="57" operator="equal">
      <formula>"no"</formula>
    </cfRule>
    <cfRule type="cellIs" dxfId="226" priority="58" operator="equal">
      <formula>"yes"</formula>
    </cfRule>
  </conditionalFormatting>
  <conditionalFormatting sqref="H38:H40">
    <cfRule type="cellIs" dxfId="225" priority="55" operator="equal">
      <formula>"no"</formula>
    </cfRule>
    <cfRule type="cellIs" dxfId="224" priority="56" operator="equal">
      <formula>"yes"</formula>
    </cfRule>
  </conditionalFormatting>
  <conditionalFormatting sqref="H38:H40">
    <cfRule type="cellIs" dxfId="223" priority="53" operator="equal">
      <formula>"no"</formula>
    </cfRule>
    <cfRule type="cellIs" dxfId="222" priority="54" operator="equal">
      <formula>"yes"</formula>
    </cfRule>
  </conditionalFormatting>
  <conditionalFormatting sqref="AP34">
    <cfRule type="cellIs" dxfId="221" priority="50" operator="lessThan">
      <formula>Z34</formula>
    </cfRule>
    <cfRule type="cellIs" dxfId="220" priority="51" operator="greaterThan">
      <formula>Z34</formula>
    </cfRule>
    <cfRule type="cellIs" dxfId="219" priority="52" operator="equal">
      <formula>Z34</formula>
    </cfRule>
  </conditionalFormatting>
  <conditionalFormatting sqref="R34">
    <cfRule type="cellIs" dxfId="218" priority="48" operator="equal">
      <formula>"no"</formula>
    </cfRule>
    <cfRule type="cellIs" dxfId="217" priority="49" operator="equal">
      <formula>"yes"</formula>
    </cfRule>
  </conditionalFormatting>
  <conditionalFormatting sqref="Z34">
    <cfRule type="cellIs" dxfId="216" priority="47" operator="equal">
      <formula>0</formula>
    </cfRule>
  </conditionalFormatting>
  <conditionalFormatting sqref="Q34 G34:H34 D34 M34:N34">
    <cfRule type="cellIs" dxfId="215" priority="46" operator="equal">
      <formula>"TBD"</formula>
    </cfRule>
  </conditionalFormatting>
  <conditionalFormatting sqref="AR34">
    <cfRule type="cellIs" dxfId="214" priority="44" operator="lessThan">
      <formula>0</formula>
    </cfRule>
    <cfRule type="cellIs" dxfId="213" priority="45" operator="greaterThan">
      <formula>0</formula>
    </cfRule>
  </conditionalFormatting>
  <conditionalFormatting sqref="Q34 G34:H34 D34 M34:N34">
    <cfRule type="containsText" dxfId="212" priority="42" operator="containsText" text="DEAD">
      <formula>NOT(ISERROR(SEARCH("DEAD",D34)))</formula>
    </cfRule>
    <cfRule type="containsText" dxfId="211" priority="43" operator="containsText" text="HOLD">
      <formula>NOT(ISERROR(SEARCH("HOLD",D34)))</formula>
    </cfRule>
  </conditionalFormatting>
  <conditionalFormatting sqref="V34">
    <cfRule type="cellIs" dxfId="210" priority="41" operator="equal">
      <formula>0</formula>
    </cfRule>
  </conditionalFormatting>
  <conditionalFormatting sqref="H34">
    <cfRule type="cellIs" dxfId="209" priority="40" operator="equal">
      <formula>"No"</formula>
    </cfRule>
  </conditionalFormatting>
  <conditionalFormatting sqref="M31:N33 J25:O25 M34:M35">
    <cfRule type="cellIs" dxfId="208" priority="39" operator="equal">
      <formula>"TBD"</formula>
    </cfRule>
  </conditionalFormatting>
  <conditionalFormatting sqref="M31:N33 J25:O25 M34:M35">
    <cfRule type="containsText" dxfId="207" priority="37" operator="containsText" text="DEAD">
      <formula>NOT(ISERROR(SEARCH("DEAD",J25)))</formula>
    </cfRule>
    <cfRule type="containsText" dxfId="206" priority="38" operator="containsText" text="HOLD">
      <formula>NOT(ISERROR(SEARCH("HOLD",J25)))</formula>
    </cfRule>
  </conditionalFormatting>
  <conditionalFormatting sqref="H88:H93">
    <cfRule type="cellIs" dxfId="205" priority="36" operator="equal">
      <formula>"TBD"</formula>
    </cfRule>
  </conditionalFormatting>
  <conditionalFormatting sqref="H88:H93">
    <cfRule type="containsText" dxfId="204" priority="34" operator="containsText" text="DEAD">
      <formula>NOT(ISERROR(SEARCH("DEAD",H88)))</formula>
    </cfRule>
    <cfRule type="containsText" dxfId="203" priority="35" operator="containsText" text="HOLD">
      <formula>NOT(ISERROR(SEARCH("HOLD",H88)))</formula>
    </cfRule>
  </conditionalFormatting>
  <conditionalFormatting sqref="H144">
    <cfRule type="cellIs" dxfId="202" priority="32" operator="equal">
      <formula>"no"</formula>
    </cfRule>
    <cfRule type="cellIs" dxfId="201" priority="33" operator="equal">
      <formula>"yes"</formula>
    </cfRule>
  </conditionalFormatting>
  <conditionalFormatting sqref="H144">
    <cfRule type="cellIs" dxfId="200" priority="30" operator="equal">
      <formula>"no"</formula>
    </cfRule>
    <cfRule type="cellIs" dxfId="199" priority="31" operator="equal">
      <formula>"yes"</formula>
    </cfRule>
  </conditionalFormatting>
  <conditionalFormatting sqref="H144">
    <cfRule type="cellIs" dxfId="198" priority="28" operator="equal">
      <formula>"no"</formula>
    </cfRule>
    <cfRule type="cellIs" dxfId="197" priority="29" operator="equal">
      <formula>"yes"</formula>
    </cfRule>
  </conditionalFormatting>
  <conditionalFormatting sqref="H42:H51">
    <cfRule type="cellIs" dxfId="196" priority="26" operator="equal">
      <formula>"no"</formula>
    </cfRule>
    <cfRule type="cellIs" dxfId="195" priority="27" operator="equal">
      <formula>"yes"</formula>
    </cfRule>
  </conditionalFormatting>
  <conditionalFormatting sqref="H42:H51">
    <cfRule type="cellIs" dxfId="194" priority="24" operator="equal">
      <formula>"no"</formula>
    </cfRule>
    <cfRule type="cellIs" dxfId="193" priority="25" operator="equal">
      <formula>"yes"</formula>
    </cfRule>
  </conditionalFormatting>
  <conditionalFormatting sqref="H42:H51">
    <cfRule type="cellIs" dxfId="192" priority="22" operator="equal">
      <formula>"no"</formula>
    </cfRule>
    <cfRule type="cellIs" dxfId="191" priority="23" operator="equal">
      <formula>"yes"</formula>
    </cfRule>
  </conditionalFormatting>
  <conditionalFormatting sqref="H66">
    <cfRule type="cellIs" dxfId="190" priority="20" operator="equal">
      <formula>"no"</formula>
    </cfRule>
    <cfRule type="cellIs" dxfId="189" priority="21" operator="equal">
      <formula>"yes"</formula>
    </cfRule>
  </conditionalFormatting>
  <conditionalFormatting sqref="N16:N20">
    <cfRule type="cellIs" dxfId="188" priority="19" operator="equal">
      <formula>"TBD"</formula>
    </cfRule>
  </conditionalFormatting>
  <conditionalFormatting sqref="N63:O63">
    <cfRule type="cellIs" dxfId="187" priority="18" operator="equal">
      <formula>"TBD"</formula>
    </cfRule>
  </conditionalFormatting>
  <conditionalFormatting sqref="N63:O63">
    <cfRule type="containsText" dxfId="186" priority="16" operator="containsText" text="DEAD">
      <formula>NOT(ISERROR(SEARCH("DEAD",N63)))</formula>
    </cfRule>
    <cfRule type="containsText" dxfId="185" priority="17" operator="containsText" text="HOLD">
      <formula>NOT(ISERROR(SEARCH("HOLD",N63)))</formula>
    </cfRule>
  </conditionalFormatting>
  <conditionalFormatting sqref="D94:E1048576">
    <cfRule type="cellIs" dxfId="184" priority="15" operator="equal">
      <formula>"TBD"</formula>
    </cfRule>
  </conditionalFormatting>
  <conditionalFormatting sqref="D94:E1048576">
    <cfRule type="containsText" dxfId="183" priority="13" operator="containsText" text="DEAD">
      <formula>NOT(ISERROR(SEARCH("DEAD",D94)))</formula>
    </cfRule>
    <cfRule type="containsText" dxfId="182" priority="14" operator="containsText" text="HOLD">
      <formula>NOT(ISERROR(SEARCH("HOLD",D94)))</formula>
    </cfRule>
  </conditionalFormatting>
  <conditionalFormatting sqref="D32:D33">
    <cfRule type="cellIs" dxfId="181" priority="12" operator="equal">
      <formula>"TBD"</formula>
    </cfRule>
  </conditionalFormatting>
  <conditionalFormatting sqref="D32:D33">
    <cfRule type="containsText" dxfId="180" priority="10" operator="containsText" text="DEAD">
      <formula>NOT(ISERROR(SEARCH("DEAD",D32)))</formula>
    </cfRule>
    <cfRule type="containsText" dxfId="179" priority="11" operator="containsText" text="HOLD">
      <formula>NOT(ISERROR(SEARCH("HOLD",D32)))</formula>
    </cfRule>
  </conditionalFormatting>
  <conditionalFormatting sqref="H1:H1048576">
    <cfRule type="cellIs" dxfId="178" priority="9" operator="equal">
      <formula>"yes"</formula>
    </cfRule>
  </conditionalFormatting>
  <conditionalFormatting sqref="O38:O39 O42:O50 O4:O21 O148 O101:O106 O154 O24:O35 O61:O76 O79:O93 O53:O58">
    <cfRule type="cellIs" dxfId="177" priority="8" operator="lessThan">
      <formula>8</formula>
    </cfRule>
  </conditionalFormatting>
  <conditionalFormatting sqref="O38:O39">
    <cfRule type="cellIs" dxfId="176" priority="7" operator="equal">
      <formula>"No"</formula>
    </cfRule>
  </conditionalFormatting>
  <conditionalFormatting sqref="AA100 AR100">
    <cfRule type="cellIs" dxfId="175" priority="5" operator="lessThan">
      <formula>0</formula>
    </cfRule>
    <cfRule type="cellIs" dxfId="174" priority="6" operator="greaterThan">
      <formula>0</formula>
    </cfRule>
  </conditionalFormatting>
  <conditionalFormatting sqref="R100">
    <cfRule type="cellIs" dxfId="173" priority="3" operator="equal">
      <formula>"no"</formula>
    </cfRule>
    <cfRule type="cellIs" dxfId="172" priority="4" operator="equal">
      <formula>"yes"</formula>
    </cfRule>
  </conditionalFormatting>
  <conditionalFormatting sqref="R100">
    <cfRule type="cellIs" dxfId="171" priority="1" operator="equal">
      <formula>"no"</formula>
    </cfRule>
    <cfRule type="cellIs" dxfId="170" priority="2" operator="equal">
      <formula>"yes"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16431-780A-4BFD-AFCB-2AEAA37C9642}">
  <dimension ref="A1:AU644"/>
  <sheetViews>
    <sheetView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T85" sqref="AT85"/>
    </sheetView>
  </sheetViews>
  <sheetFormatPr defaultRowHeight="15" x14ac:dyDescent="0.25"/>
  <cols>
    <col min="1" max="1" width="12.42578125" customWidth="1"/>
    <col min="2" max="2" width="49" bestFit="1" customWidth="1"/>
    <col min="3" max="3" width="36.5703125" style="74" customWidth="1"/>
    <col min="4" max="4" width="14.85546875" style="74" customWidth="1"/>
    <col min="5" max="5" width="14.85546875" style="445" customWidth="1"/>
    <col min="6" max="6" width="14.85546875" style="470" customWidth="1"/>
    <col min="7" max="7" width="46.5703125" customWidth="1"/>
    <col min="8" max="9" width="16.5703125" style="74" customWidth="1"/>
    <col min="10" max="10" width="14.5703125" style="74" hidden="1" customWidth="1"/>
    <col min="11" max="11" width="13.5703125" style="74" customWidth="1"/>
    <col min="12" max="12" width="13.5703125" style="74" hidden="1" customWidth="1"/>
    <col min="13" max="13" width="13.5703125" style="295" customWidth="1"/>
    <col min="14" max="14" width="13.5703125" style="295" hidden="1" customWidth="1"/>
    <col min="15" max="15" width="13.5703125" style="295" customWidth="1"/>
    <col min="16" max="16" width="13.5703125" style="296" customWidth="1"/>
    <col min="17" max="17" width="13.5703125" style="295" hidden="1" customWidth="1"/>
    <col min="18" max="18" width="13.5703125" style="296" customWidth="1"/>
    <col min="19" max="19" width="11.5703125" style="74" customWidth="1"/>
    <col min="20" max="20" width="13.5703125" style="74" customWidth="1"/>
    <col min="21" max="21" width="12.5703125" style="74" customWidth="1"/>
    <col min="22" max="22" width="12.5703125" style="296" customWidth="1"/>
    <col min="23" max="23" width="16.42578125" style="38" customWidth="1"/>
    <col min="24" max="24" width="16.5703125" style="38" customWidth="1"/>
    <col min="25" max="25" width="16.5703125" style="293" customWidth="1"/>
    <col min="26" max="26" width="16.5703125" style="38" customWidth="1"/>
    <col min="27" max="27" width="18.5703125" style="78" customWidth="1"/>
    <col min="28" max="28" width="19.5703125" style="277" customWidth="1"/>
    <col min="29" max="40" width="18.42578125" style="277" customWidth="1"/>
    <col min="41" max="41" width="16.5703125" style="78" customWidth="1"/>
    <col min="42" max="42" width="3.42578125" style="79" customWidth="1"/>
    <col min="43" max="43" width="17.42578125" style="78" customWidth="1"/>
    <col min="44" max="44" width="3.42578125" style="79" customWidth="1"/>
    <col min="45" max="45" width="17.5703125" style="361" customWidth="1"/>
    <col min="46" max="46" width="76.5703125" customWidth="1"/>
    <col min="47" max="47" width="10.5703125" bestFit="1" customWidth="1"/>
  </cols>
  <sheetData>
    <row r="1" spans="1:47" s="36" customFormat="1" ht="20.100000000000001" customHeight="1" x14ac:dyDescent="0.25">
      <c r="A1" s="437" t="s">
        <v>453</v>
      </c>
      <c r="B1" s="437" t="s">
        <v>453</v>
      </c>
      <c r="C1" s="437" t="s">
        <v>857</v>
      </c>
      <c r="D1" s="437"/>
      <c r="E1" s="437" t="s">
        <v>859</v>
      </c>
      <c r="F1" s="437" t="s">
        <v>908</v>
      </c>
      <c r="G1" s="437" t="s">
        <v>936</v>
      </c>
      <c r="H1" s="437" t="s">
        <v>455</v>
      </c>
      <c r="I1" s="437" t="s">
        <v>936</v>
      </c>
      <c r="J1" s="437" t="s">
        <v>857</v>
      </c>
      <c r="K1" s="437" t="s">
        <v>857</v>
      </c>
      <c r="L1" s="437" t="s">
        <v>457</v>
      </c>
      <c r="M1" s="318" t="s">
        <v>457</v>
      </c>
      <c r="N1" s="318" t="s">
        <v>457</v>
      </c>
      <c r="O1" s="318" t="s">
        <v>457</v>
      </c>
      <c r="P1" s="331" t="s">
        <v>908</v>
      </c>
      <c r="Q1" s="318" t="s">
        <v>457</v>
      </c>
      <c r="R1" s="318" t="s">
        <v>457</v>
      </c>
      <c r="S1" s="318" t="s">
        <v>457</v>
      </c>
      <c r="T1" s="437" t="s">
        <v>455</v>
      </c>
      <c r="U1" s="437" t="s">
        <v>455</v>
      </c>
      <c r="V1" s="331" t="s">
        <v>455</v>
      </c>
      <c r="W1" s="331" t="s">
        <v>455</v>
      </c>
      <c r="X1" s="331" t="s">
        <v>453</v>
      </c>
      <c r="Y1" s="318" t="s">
        <v>453</v>
      </c>
      <c r="Z1" s="438" t="s">
        <v>457</v>
      </c>
      <c r="AA1" s="438" t="s">
        <v>457</v>
      </c>
      <c r="AB1" s="456"/>
      <c r="AC1" s="530">
        <v>2022</v>
      </c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282">
        <v>2023</v>
      </c>
      <c r="AP1" s="42"/>
      <c r="AQ1" s="41"/>
      <c r="AR1" s="42"/>
      <c r="AS1" s="357"/>
    </row>
    <row r="2" spans="1:47" s="292" customFormat="1" ht="47.25" x14ac:dyDescent="0.25">
      <c r="A2" s="284" t="s">
        <v>614</v>
      </c>
      <c r="B2" s="285" t="s">
        <v>613</v>
      </c>
      <c r="C2" s="419" t="s">
        <v>801</v>
      </c>
      <c r="D2" s="419"/>
      <c r="E2" s="286" t="s">
        <v>343</v>
      </c>
      <c r="F2" s="419" t="s">
        <v>888</v>
      </c>
      <c r="G2" s="285" t="s">
        <v>612</v>
      </c>
      <c r="H2" s="286" t="s">
        <v>12</v>
      </c>
      <c r="I2" s="286" t="s">
        <v>792</v>
      </c>
      <c r="J2" s="419" t="s">
        <v>889</v>
      </c>
      <c r="K2" s="286" t="s">
        <v>796</v>
      </c>
      <c r="L2" s="286" t="s">
        <v>780</v>
      </c>
      <c r="M2" s="294" t="s">
        <v>781</v>
      </c>
      <c r="N2" s="286" t="s">
        <v>782</v>
      </c>
      <c r="O2" s="294" t="s">
        <v>783</v>
      </c>
      <c r="P2" s="287" t="s">
        <v>907</v>
      </c>
      <c r="Q2" s="286" t="s">
        <v>861</v>
      </c>
      <c r="R2" s="287" t="s">
        <v>785</v>
      </c>
      <c r="S2" s="286" t="s">
        <v>620</v>
      </c>
      <c r="T2" s="286" t="s">
        <v>345</v>
      </c>
      <c r="U2" s="286" t="s">
        <v>346</v>
      </c>
      <c r="V2" s="287" t="s">
        <v>899</v>
      </c>
      <c r="W2" s="287" t="s">
        <v>898</v>
      </c>
      <c r="X2" s="287" t="s">
        <v>644</v>
      </c>
      <c r="Y2" s="294" t="s">
        <v>944</v>
      </c>
      <c r="Z2" s="287" t="s">
        <v>860</v>
      </c>
      <c r="AA2" s="82" t="s">
        <v>802</v>
      </c>
      <c r="AB2" s="288" t="s">
        <v>870</v>
      </c>
      <c r="AC2" s="82" t="s">
        <v>749</v>
      </c>
      <c r="AD2" s="82" t="s">
        <v>750</v>
      </c>
      <c r="AE2" s="82" t="s">
        <v>751</v>
      </c>
      <c r="AF2" s="82" t="s">
        <v>752</v>
      </c>
      <c r="AG2" s="82" t="s">
        <v>753</v>
      </c>
      <c r="AH2" s="82" t="s">
        <v>754</v>
      </c>
      <c r="AI2" s="82" t="s">
        <v>755</v>
      </c>
      <c r="AJ2" s="82" t="s">
        <v>756</v>
      </c>
      <c r="AK2" s="82" t="s">
        <v>758</v>
      </c>
      <c r="AL2" s="82" t="s">
        <v>757</v>
      </c>
      <c r="AM2" s="82" t="s">
        <v>759</v>
      </c>
      <c r="AN2" s="82" t="s">
        <v>760</v>
      </c>
      <c r="AO2" s="289" t="s">
        <v>628</v>
      </c>
      <c r="AP2" s="290"/>
      <c r="AQ2" s="82" t="s">
        <v>365</v>
      </c>
      <c r="AR2" s="290"/>
      <c r="AS2" s="358" t="s">
        <v>366</v>
      </c>
      <c r="AT2" s="291" t="s">
        <v>547</v>
      </c>
    </row>
    <row r="3" spans="1:47" s="36" customFormat="1" ht="15.75" x14ac:dyDescent="0.25">
      <c r="A3" s="381" t="s">
        <v>27</v>
      </c>
      <c r="B3" s="106"/>
      <c r="C3" s="102"/>
      <c r="D3" s="102"/>
      <c r="E3" s="102"/>
      <c r="F3" s="102"/>
      <c r="G3" s="381"/>
      <c r="H3" s="102"/>
      <c r="I3" s="102"/>
      <c r="J3" s="102"/>
      <c r="K3" s="102"/>
      <c r="L3" s="102"/>
      <c r="M3" s="276"/>
      <c r="N3" s="276"/>
      <c r="O3" s="276"/>
      <c r="P3" s="84"/>
      <c r="Q3" s="276"/>
      <c r="R3" s="84"/>
      <c r="S3" s="102"/>
      <c r="T3" s="102"/>
      <c r="U3" s="102"/>
      <c r="V3" s="84"/>
      <c r="W3" s="102"/>
      <c r="X3" s="102"/>
      <c r="Y3" s="276"/>
      <c r="Z3" s="102"/>
      <c r="AA3" s="102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47"/>
      <c r="AQ3" s="103"/>
      <c r="AR3" s="51"/>
      <c r="AS3" s="357"/>
    </row>
    <row r="4" spans="1:47" s="36" customFormat="1" ht="15.75" x14ac:dyDescent="0.25">
      <c r="A4" s="34" t="s">
        <v>166</v>
      </c>
      <c r="B4" s="35" t="s">
        <v>168</v>
      </c>
      <c r="C4" s="464" t="s">
        <v>808</v>
      </c>
      <c r="D4" s="464" t="s">
        <v>886</v>
      </c>
      <c r="E4" s="298" t="s">
        <v>401</v>
      </c>
      <c r="F4" s="464" t="s">
        <v>890</v>
      </c>
      <c r="G4" s="417" t="s">
        <v>169</v>
      </c>
      <c r="H4" s="298" t="s">
        <v>46</v>
      </c>
      <c r="I4" s="329">
        <v>44301</v>
      </c>
      <c r="J4" s="464"/>
      <c r="K4" s="329" t="s">
        <v>370</v>
      </c>
      <c r="L4" s="298">
        <v>44243</v>
      </c>
      <c r="M4" s="329">
        <v>44243</v>
      </c>
      <c r="N4" s="298">
        <v>44302</v>
      </c>
      <c r="O4" s="329">
        <v>44302</v>
      </c>
      <c r="P4" s="346" t="e">
        <f>O4-K4</f>
        <v>#VALUE!</v>
      </c>
      <c r="Q4" s="301">
        <f>N4-L4</f>
        <v>59</v>
      </c>
      <c r="R4" s="346">
        <f t="shared" ref="Q4:R21" si="0">O4-M4</f>
        <v>59</v>
      </c>
      <c r="S4" s="52" t="s">
        <v>370</v>
      </c>
      <c r="T4" s="329">
        <v>44319</v>
      </c>
      <c r="U4" s="348">
        <v>44571</v>
      </c>
      <c r="V4" s="301">
        <v>8.3720930232558146</v>
      </c>
      <c r="W4" s="301">
        <f t="shared" ref="W4:W21" si="1">((U4-T4)/7)/4.3</f>
        <v>8.3720930232558146</v>
      </c>
      <c r="X4" s="301"/>
      <c r="Y4" s="298"/>
      <c r="Z4" s="50" t="s">
        <v>370</v>
      </c>
      <c r="AA4" s="182">
        <v>1181869.7</v>
      </c>
      <c r="AB4" s="211">
        <v>1013323.8300000001</v>
      </c>
      <c r="AC4" s="211">
        <v>59705.08</v>
      </c>
      <c r="AD4" s="211">
        <v>0</v>
      </c>
      <c r="AE4" s="211">
        <v>0</v>
      </c>
      <c r="AF4" s="58"/>
      <c r="AG4" s="58"/>
      <c r="AH4" s="58"/>
      <c r="AI4" s="58"/>
      <c r="AJ4" s="58"/>
      <c r="AK4" s="58"/>
      <c r="AL4" s="58"/>
      <c r="AM4" s="58"/>
      <c r="AN4" s="58"/>
      <c r="AO4" s="53"/>
      <c r="AP4" s="47"/>
      <c r="AQ4" s="53">
        <f t="shared" ref="AQ4:AQ21" si="2">SUM(AB4:AP4)</f>
        <v>1073028.9100000001</v>
      </c>
      <c r="AR4" s="51"/>
      <c r="AS4" s="359">
        <f t="shared" ref="AS4:AS23" si="3">AQ4-AA4</f>
        <v>-108840.7899999998</v>
      </c>
    </row>
    <row r="5" spans="1:47" s="36" customFormat="1" ht="15.75" x14ac:dyDescent="0.25">
      <c r="A5" s="319" t="s">
        <v>170</v>
      </c>
      <c r="B5" s="320" t="s">
        <v>621</v>
      </c>
      <c r="C5" s="428" t="s">
        <v>173</v>
      </c>
      <c r="D5" s="428" t="s">
        <v>886</v>
      </c>
      <c r="E5" s="321" t="s">
        <v>402</v>
      </c>
      <c r="F5" s="421" t="s">
        <v>890</v>
      </c>
      <c r="G5" s="370" t="s">
        <v>172</v>
      </c>
      <c r="H5" s="321" t="s">
        <v>46</v>
      </c>
      <c r="I5" s="332">
        <v>44337</v>
      </c>
      <c r="J5" s="428"/>
      <c r="K5" s="332" t="s">
        <v>370</v>
      </c>
      <c r="L5" s="339">
        <v>44201</v>
      </c>
      <c r="M5" s="332">
        <v>44201</v>
      </c>
      <c r="N5" s="339">
        <v>44302</v>
      </c>
      <c r="O5" s="332">
        <v>44302</v>
      </c>
      <c r="P5" s="343" t="e">
        <f t="shared" ref="P5:P21" si="4">O5-K5</f>
        <v>#VALUE!</v>
      </c>
      <c r="Q5" s="371">
        <f t="shared" si="0"/>
        <v>101</v>
      </c>
      <c r="R5" s="343">
        <f t="shared" si="0"/>
        <v>101</v>
      </c>
      <c r="S5" s="339" t="s">
        <v>370</v>
      </c>
      <c r="T5" s="332">
        <v>44415</v>
      </c>
      <c r="U5" s="332">
        <v>44586</v>
      </c>
      <c r="V5" s="322">
        <v>5.1827242524916945</v>
      </c>
      <c r="W5" s="322">
        <f t="shared" si="1"/>
        <v>5.6810631229235877</v>
      </c>
      <c r="X5" s="322"/>
      <c r="Y5" s="321"/>
      <c r="Z5" s="322" t="s">
        <v>370</v>
      </c>
      <c r="AA5" s="323">
        <v>1051400.45</v>
      </c>
      <c r="AB5" s="211">
        <v>987033.51</v>
      </c>
      <c r="AC5" s="211">
        <v>64366.94</v>
      </c>
      <c r="AD5" s="211">
        <v>0</v>
      </c>
      <c r="AE5" s="211">
        <v>0</v>
      </c>
      <c r="AF5" s="58"/>
      <c r="AG5" s="58"/>
      <c r="AH5" s="58"/>
      <c r="AI5" s="58"/>
      <c r="AJ5" s="58"/>
      <c r="AK5" s="58"/>
      <c r="AL5" s="58"/>
      <c r="AM5" s="58"/>
      <c r="AN5" s="58"/>
      <c r="AO5" s="53"/>
      <c r="AP5" s="47"/>
      <c r="AQ5" s="53">
        <f t="shared" si="2"/>
        <v>1051400.45</v>
      </c>
      <c r="AR5" s="51"/>
      <c r="AS5" s="359">
        <f t="shared" si="3"/>
        <v>0</v>
      </c>
      <c r="AU5" s="55"/>
    </row>
    <row r="6" spans="1:47" s="36" customFormat="1" ht="15.75" x14ac:dyDescent="0.25">
      <c r="A6" s="113" t="s">
        <v>174</v>
      </c>
      <c r="B6" s="113" t="s">
        <v>175</v>
      </c>
      <c r="C6" s="299" t="s">
        <v>808</v>
      </c>
      <c r="D6" s="299" t="s">
        <v>886</v>
      </c>
      <c r="E6" s="299" t="s">
        <v>401</v>
      </c>
      <c r="F6" s="464" t="s">
        <v>890</v>
      </c>
      <c r="G6" s="300" t="s">
        <v>172</v>
      </c>
      <c r="H6" s="299" t="s">
        <v>46</v>
      </c>
      <c r="I6" s="329">
        <v>44363</v>
      </c>
      <c r="J6" s="299"/>
      <c r="K6" s="330" t="s">
        <v>370</v>
      </c>
      <c r="L6" s="298">
        <v>44362</v>
      </c>
      <c r="M6" s="329">
        <v>44362</v>
      </c>
      <c r="N6" s="298">
        <v>44418</v>
      </c>
      <c r="O6" s="329">
        <v>44418</v>
      </c>
      <c r="P6" s="346" t="e">
        <f t="shared" si="4"/>
        <v>#VALUE!</v>
      </c>
      <c r="Q6" s="301">
        <f t="shared" si="0"/>
        <v>56</v>
      </c>
      <c r="R6" s="346">
        <f t="shared" si="0"/>
        <v>56</v>
      </c>
      <c r="S6" s="52" t="s">
        <v>370</v>
      </c>
      <c r="T6" s="329">
        <v>44382</v>
      </c>
      <c r="U6" s="348">
        <v>44589</v>
      </c>
      <c r="V6" s="50">
        <v>6.8770764119601333</v>
      </c>
      <c r="W6" s="50">
        <f t="shared" si="1"/>
        <v>6.8770764119601333</v>
      </c>
      <c r="X6" s="50"/>
      <c r="Y6" s="52"/>
      <c r="Z6" s="50" t="s">
        <v>370</v>
      </c>
      <c r="AA6" s="182">
        <v>1367413.55</v>
      </c>
      <c r="AB6" s="211">
        <v>864219.08000000007</v>
      </c>
      <c r="AC6" s="211">
        <v>83841.399999999994</v>
      </c>
      <c r="AD6" s="211">
        <v>12631.18</v>
      </c>
      <c r="AE6" s="211">
        <v>89678.37</v>
      </c>
      <c r="AF6" s="58"/>
      <c r="AG6" s="58"/>
      <c r="AH6" s="58"/>
      <c r="AI6" s="58"/>
      <c r="AJ6" s="58"/>
      <c r="AK6" s="58"/>
      <c r="AL6" s="58"/>
      <c r="AM6" s="58"/>
      <c r="AN6" s="58"/>
      <c r="AO6" s="53"/>
      <c r="AP6" s="47"/>
      <c r="AQ6" s="53">
        <f t="shared" si="2"/>
        <v>1050370.0300000003</v>
      </c>
      <c r="AR6" s="51"/>
      <c r="AS6" s="359">
        <f t="shared" si="3"/>
        <v>-317043.51999999979</v>
      </c>
      <c r="AU6" s="55"/>
    </row>
    <row r="7" spans="1:47" s="452" customFormat="1" ht="15.75" x14ac:dyDescent="0.25">
      <c r="A7" s="113" t="s">
        <v>176</v>
      </c>
      <c r="B7" s="114" t="s">
        <v>925</v>
      </c>
      <c r="C7" s="424" t="s">
        <v>808</v>
      </c>
      <c r="D7" s="299" t="s">
        <v>886</v>
      </c>
      <c r="E7" s="52" t="s">
        <v>401</v>
      </c>
      <c r="F7" s="464" t="s">
        <v>890</v>
      </c>
      <c r="G7" s="114" t="s">
        <v>642</v>
      </c>
      <c r="H7" s="299" t="s">
        <v>46</v>
      </c>
      <c r="I7" s="329">
        <v>44363</v>
      </c>
      <c r="J7" s="424"/>
      <c r="K7" s="330" t="s">
        <v>370</v>
      </c>
      <c r="L7" s="299">
        <v>44367</v>
      </c>
      <c r="M7" s="330">
        <v>44367</v>
      </c>
      <c r="N7" s="299">
        <v>44533</v>
      </c>
      <c r="O7" s="329">
        <v>44533</v>
      </c>
      <c r="P7" s="346" t="e">
        <f t="shared" si="4"/>
        <v>#VALUE!</v>
      </c>
      <c r="Q7" s="301">
        <f t="shared" si="0"/>
        <v>166</v>
      </c>
      <c r="R7" s="333">
        <f t="shared" si="0"/>
        <v>166</v>
      </c>
      <c r="S7" s="52" t="s">
        <v>370</v>
      </c>
      <c r="T7" s="329">
        <v>44517</v>
      </c>
      <c r="U7" s="87">
        <v>44704</v>
      </c>
      <c r="V7" s="50">
        <v>3.0000000000000968</v>
      </c>
      <c r="W7" s="50">
        <f t="shared" si="1"/>
        <v>6.2126245847176085</v>
      </c>
      <c r="X7" s="50"/>
      <c r="Y7" s="52"/>
      <c r="Z7" s="50" t="s">
        <v>370</v>
      </c>
      <c r="AA7" s="182">
        <v>272915</v>
      </c>
      <c r="AB7" s="211">
        <v>139535.13999999998</v>
      </c>
      <c r="AC7" s="211">
        <v>39753.440000000002</v>
      </c>
      <c r="AD7" s="211">
        <v>25717.67</v>
      </c>
      <c r="AE7" s="211">
        <v>39311.75</v>
      </c>
      <c r="AF7" s="275">
        <v>25000</v>
      </c>
      <c r="AG7" s="275">
        <v>17908.75</v>
      </c>
      <c r="AH7" s="58"/>
      <c r="AI7" s="58"/>
      <c r="AJ7" s="58"/>
      <c r="AK7" s="58"/>
      <c r="AL7" s="58"/>
      <c r="AM7" s="58"/>
      <c r="AN7" s="58"/>
      <c r="AO7" s="53"/>
      <c r="AP7" s="47"/>
      <c r="AQ7" s="53">
        <f t="shared" si="2"/>
        <v>287226.75</v>
      </c>
      <c r="AR7" s="51"/>
      <c r="AS7" s="359">
        <f t="shared" si="3"/>
        <v>14311.75</v>
      </c>
      <c r="AT7" s="36"/>
      <c r="AU7" s="55"/>
    </row>
    <row r="8" spans="1:47" s="36" customFormat="1" ht="15.75" x14ac:dyDescent="0.25">
      <c r="A8" s="113" t="s">
        <v>485</v>
      </c>
      <c r="B8" s="114" t="s">
        <v>599</v>
      </c>
      <c r="C8" s="422" t="s">
        <v>807</v>
      </c>
      <c r="D8" s="299" t="s">
        <v>886</v>
      </c>
      <c r="E8" s="87" t="s">
        <v>401</v>
      </c>
      <c r="F8" s="299" t="s">
        <v>890</v>
      </c>
      <c r="G8" s="35" t="s">
        <v>707</v>
      </c>
      <c r="H8" s="52" t="s">
        <v>46</v>
      </c>
      <c r="I8" s="329">
        <v>44440</v>
      </c>
      <c r="J8" s="422"/>
      <c r="K8" s="330" t="s">
        <v>370</v>
      </c>
      <c r="L8" s="52">
        <v>44391</v>
      </c>
      <c r="M8" s="330">
        <v>44391</v>
      </c>
      <c r="N8" s="299">
        <v>44456</v>
      </c>
      <c r="O8" s="329">
        <v>44456</v>
      </c>
      <c r="P8" s="346" t="e">
        <f t="shared" si="4"/>
        <v>#VALUE!</v>
      </c>
      <c r="Q8" s="301">
        <f t="shared" si="0"/>
        <v>65</v>
      </c>
      <c r="R8" s="333">
        <f t="shared" si="0"/>
        <v>65</v>
      </c>
      <c r="S8" s="52" t="s">
        <v>370</v>
      </c>
      <c r="T8" s="329">
        <v>44530</v>
      </c>
      <c r="U8" s="87">
        <v>44706</v>
      </c>
      <c r="V8" s="50">
        <v>5.0166112956810638</v>
      </c>
      <c r="W8" s="50">
        <f t="shared" si="1"/>
        <v>5.8471760797342194</v>
      </c>
      <c r="X8" s="50"/>
      <c r="Y8" s="52"/>
      <c r="Z8" s="50" t="s">
        <v>370</v>
      </c>
      <c r="AA8" s="182">
        <v>1180416.18</v>
      </c>
      <c r="AB8" s="211">
        <v>488349.41</v>
      </c>
      <c r="AC8" s="211">
        <v>162144.04999999999</v>
      </c>
      <c r="AD8" s="211">
        <v>91072.9</v>
      </c>
      <c r="AE8" s="211">
        <v>280084.05</v>
      </c>
      <c r="AF8" s="275">
        <v>150000</v>
      </c>
      <c r="AG8" s="275">
        <v>75000</v>
      </c>
      <c r="AH8" s="275">
        <v>63849.82</v>
      </c>
      <c r="AI8" s="58"/>
      <c r="AJ8" s="58"/>
      <c r="AK8" s="58"/>
      <c r="AL8" s="58"/>
      <c r="AM8" s="58"/>
      <c r="AN8" s="58"/>
      <c r="AO8" s="53"/>
      <c r="AP8" s="47"/>
      <c r="AQ8" s="53">
        <f t="shared" si="2"/>
        <v>1310500.23</v>
      </c>
      <c r="AR8" s="51"/>
      <c r="AS8" s="359">
        <f t="shared" si="3"/>
        <v>130084.05000000005</v>
      </c>
      <c r="AU8" s="55"/>
    </row>
    <row r="9" spans="1:47" s="36" customFormat="1" ht="15.75" x14ac:dyDescent="0.25">
      <c r="A9" s="113" t="s">
        <v>486</v>
      </c>
      <c r="B9" s="114" t="s">
        <v>601</v>
      </c>
      <c r="C9" s="464" t="s">
        <v>807</v>
      </c>
      <c r="D9" s="299" t="s">
        <v>886</v>
      </c>
      <c r="E9" s="87" t="s">
        <v>401</v>
      </c>
      <c r="F9" s="299" t="s">
        <v>890</v>
      </c>
      <c r="G9" s="114" t="s">
        <v>705</v>
      </c>
      <c r="H9" s="87" t="s">
        <v>46</v>
      </c>
      <c r="I9" s="329">
        <v>44519</v>
      </c>
      <c r="J9" s="464"/>
      <c r="K9" s="329" t="s">
        <v>370</v>
      </c>
      <c r="L9" s="87">
        <v>44508</v>
      </c>
      <c r="M9" s="329">
        <v>44508</v>
      </c>
      <c r="N9" s="298">
        <v>44539</v>
      </c>
      <c r="O9" s="329">
        <v>44539</v>
      </c>
      <c r="P9" s="346" t="e">
        <f t="shared" si="4"/>
        <v>#VALUE!</v>
      </c>
      <c r="Q9" s="301">
        <f t="shared" si="0"/>
        <v>31</v>
      </c>
      <c r="R9" s="346">
        <f t="shared" si="0"/>
        <v>31</v>
      </c>
      <c r="S9" s="87" t="s">
        <v>370</v>
      </c>
      <c r="T9" s="329">
        <v>44609</v>
      </c>
      <c r="U9" s="87">
        <v>44713</v>
      </c>
      <c r="V9" s="50">
        <v>3.0000000000000968</v>
      </c>
      <c r="W9" s="50">
        <f t="shared" si="1"/>
        <v>3.45514950166113</v>
      </c>
      <c r="X9" s="50"/>
      <c r="Y9" s="52"/>
      <c r="Z9" s="50" t="s">
        <v>370</v>
      </c>
      <c r="AA9" s="182">
        <v>253338.08</v>
      </c>
      <c r="AB9" s="211">
        <v>95915.97</v>
      </c>
      <c r="AC9" s="211">
        <v>0</v>
      </c>
      <c r="AD9" s="211">
        <v>69507.91</v>
      </c>
      <c r="AE9" s="211">
        <v>48892.5</v>
      </c>
      <c r="AF9" s="275">
        <v>35000</v>
      </c>
      <c r="AG9" s="275">
        <v>15000</v>
      </c>
      <c r="AH9" s="275">
        <v>2914.2</v>
      </c>
      <c r="AI9" s="58"/>
      <c r="AJ9" s="58"/>
      <c r="AK9" s="58"/>
      <c r="AL9" s="58"/>
      <c r="AM9" s="58"/>
      <c r="AN9" s="58"/>
      <c r="AO9" s="53"/>
      <c r="AP9" s="47"/>
      <c r="AQ9" s="53">
        <f t="shared" si="2"/>
        <v>267230.58</v>
      </c>
      <c r="AR9" s="51"/>
      <c r="AS9" s="359">
        <f t="shared" si="3"/>
        <v>13892.500000000029</v>
      </c>
      <c r="AU9" s="55"/>
    </row>
    <row r="10" spans="1:47" s="452" customFormat="1" ht="15.75" x14ac:dyDescent="0.25">
      <c r="A10" s="113" t="s">
        <v>679</v>
      </c>
      <c r="B10" s="114" t="s">
        <v>600</v>
      </c>
      <c r="C10" s="464" t="s">
        <v>807</v>
      </c>
      <c r="D10" s="299" t="s">
        <v>886</v>
      </c>
      <c r="E10" s="87" t="s">
        <v>401</v>
      </c>
      <c r="F10" s="299" t="s">
        <v>890</v>
      </c>
      <c r="G10" s="35" t="s">
        <v>706</v>
      </c>
      <c r="H10" s="52" t="s">
        <v>46</v>
      </c>
      <c r="I10" s="329">
        <v>44519</v>
      </c>
      <c r="J10" s="464"/>
      <c r="K10" s="330" t="s">
        <v>370</v>
      </c>
      <c r="L10" s="52">
        <v>44536</v>
      </c>
      <c r="M10" s="330">
        <v>44536</v>
      </c>
      <c r="N10" s="299">
        <v>44575</v>
      </c>
      <c r="O10" s="329">
        <v>44589</v>
      </c>
      <c r="P10" s="346" t="e">
        <f t="shared" si="4"/>
        <v>#VALUE!</v>
      </c>
      <c r="Q10" s="301">
        <f t="shared" si="0"/>
        <v>39</v>
      </c>
      <c r="R10" s="333">
        <f t="shared" si="0"/>
        <v>53</v>
      </c>
      <c r="S10" s="52" t="s">
        <v>370</v>
      </c>
      <c r="T10" s="329">
        <v>44606</v>
      </c>
      <c r="U10" s="52">
        <v>44692</v>
      </c>
      <c r="V10" s="50">
        <v>3.5548172757475087</v>
      </c>
      <c r="W10" s="50">
        <f t="shared" si="1"/>
        <v>2.8571428571428577</v>
      </c>
      <c r="X10" s="50"/>
      <c r="Y10" s="52"/>
      <c r="Z10" s="50" t="s">
        <v>370</v>
      </c>
      <c r="AA10" s="182">
        <v>402660.29</v>
      </c>
      <c r="AB10" s="211">
        <v>34445.589999999997</v>
      </c>
      <c r="AC10" s="211">
        <v>0</v>
      </c>
      <c r="AD10" s="211">
        <v>54102</v>
      </c>
      <c r="AE10" s="211">
        <v>0</v>
      </c>
      <c r="AF10" s="275">
        <v>80000</v>
      </c>
      <c r="AG10" s="275">
        <v>80000</v>
      </c>
      <c r="AH10" s="275">
        <v>79112.7</v>
      </c>
      <c r="AI10" s="58"/>
      <c r="AJ10" s="58"/>
      <c r="AK10" s="58"/>
      <c r="AL10" s="58"/>
      <c r="AM10" s="58"/>
      <c r="AN10" s="58"/>
      <c r="AO10" s="53"/>
      <c r="AP10" s="47"/>
      <c r="AQ10" s="53">
        <f t="shared" si="2"/>
        <v>327660.28999999998</v>
      </c>
      <c r="AR10" s="51"/>
      <c r="AS10" s="359">
        <f t="shared" si="3"/>
        <v>-75000</v>
      </c>
      <c r="AT10" s="36"/>
      <c r="AU10" s="55"/>
    </row>
    <row r="11" spans="1:47" s="36" customFormat="1" ht="15.75" x14ac:dyDescent="0.25">
      <c r="A11" s="374" t="s">
        <v>734</v>
      </c>
      <c r="B11" s="375" t="s">
        <v>926</v>
      </c>
      <c r="C11" s="422" t="s">
        <v>856</v>
      </c>
      <c r="D11" s="299" t="s">
        <v>886</v>
      </c>
      <c r="E11" s="52" t="s">
        <v>402</v>
      </c>
      <c r="F11" s="299" t="s">
        <v>890</v>
      </c>
      <c r="G11" s="35" t="s">
        <v>701</v>
      </c>
      <c r="H11" s="52" t="s">
        <v>46</v>
      </c>
      <c r="I11" s="329">
        <v>44624</v>
      </c>
      <c r="J11" s="422"/>
      <c r="K11" s="329">
        <v>44657</v>
      </c>
      <c r="L11" s="87">
        <v>44580</v>
      </c>
      <c r="M11" s="329">
        <v>44593</v>
      </c>
      <c r="N11" s="52">
        <v>44625</v>
      </c>
      <c r="O11" s="298">
        <v>44664</v>
      </c>
      <c r="P11" s="301">
        <f t="shared" si="4"/>
        <v>7</v>
      </c>
      <c r="Q11" s="50">
        <f t="shared" si="0"/>
        <v>45</v>
      </c>
      <c r="R11" s="50">
        <f t="shared" si="0"/>
        <v>71</v>
      </c>
      <c r="S11" s="52" t="s">
        <v>320</v>
      </c>
      <c r="T11" s="376">
        <f>O11+15</f>
        <v>44679</v>
      </c>
      <c r="U11" s="87">
        <f>T11+(6*4.3*7)</f>
        <v>44859.6</v>
      </c>
      <c r="V11" s="50">
        <v>5.999999999999952</v>
      </c>
      <c r="W11" s="50">
        <f t="shared" si="1"/>
        <v>5.999999999999952</v>
      </c>
      <c r="X11" s="50"/>
      <c r="Y11" s="52"/>
      <c r="Z11" s="50"/>
      <c r="AA11" s="53">
        <v>750000</v>
      </c>
      <c r="AB11" s="211">
        <v>0</v>
      </c>
      <c r="AC11" s="211">
        <v>0</v>
      </c>
      <c r="AD11" s="211">
        <v>0</v>
      </c>
      <c r="AE11" s="211">
        <v>0</v>
      </c>
      <c r="AF11" s="275">
        <v>125000</v>
      </c>
      <c r="AG11" s="275">
        <v>150000</v>
      </c>
      <c r="AH11" s="275">
        <v>150000</v>
      </c>
      <c r="AI11" s="275">
        <v>140000</v>
      </c>
      <c r="AJ11" s="275">
        <v>60000</v>
      </c>
      <c r="AK11" s="58"/>
      <c r="AL11" s="58"/>
      <c r="AM11" s="58"/>
      <c r="AN11" s="58"/>
      <c r="AO11" s="53"/>
      <c r="AP11" s="47"/>
      <c r="AQ11" s="53">
        <f t="shared" si="2"/>
        <v>625000</v>
      </c>
      <c r="AR11" s="51"/>
      <c r="AS11" s="359">
        <f t="shared" si="3"/>
        <v>-125000</v>
      </c>
      <c r="AU11" s="55"/>
    </row>
    <row r="12" spans="1:47" s="36" customFormat="1" ht="15.75" x14ac:dyDescent="0.25">
      <c r="A12" s="113" t="s">
        <v>868</v>
      </c>
      <c r="B12" s="114" t="s">
        <v>869</v>
      </c>
      <c r="C12" s="432" t="s">
        <v>810</v>
      </c>
      <c r="D12" s="299" t="s">
        <v>886</v>
      </c>
      <c r="E12" s="87" t="s">
        <v>401</v>
      </c>
      <c r="F12" s="299" t="s">
        <v>890</v>
      </c>
      <c r="G12" s="114" t="s">
        <v>643</v>
      </c>
      <c r="H12" s="87" t="s">
        <v>46</v>
      </c>
      <c r="I12" s="329">
        <v>44545</v>
      </c>
      <c r="J12" s="432"/>
      <c r="K12" s="329" t="s">
        <v>370</v>
      </c>
      <c r="L12" s="87">
        <v>44512</v>
      </c>
      <c r="M12" s="329">
        <v>44512</v>
      </c>
      <c r="N12" s="298">
        <v>44567</v>
      </c>
      <c r="O12" s="329">
        <v>44560</v>
      </c>
      <c r="P12" s="346" t="e">
        <f t="shared" si="4"/>
        <v>#VALUE!</v>
      </c>
      <c r="Q12" s="301">
        <f t="shared" si="0"/>
        <v>55</v>
      </c>
      <c r="R12" s="346">
        <f t="shared" si="0"/>
        <v>48</v>
      </c>
      <c r="S12" s="87" t="s">
        <v>370</v>
      </c>
      <c r="T12" s="329">
        <v>44572</v>
      </c>
      <c r="U12" s="52">
        <v>44805</v>
      </c>
      <c r="V12" s="50">
        <v>6.9999999999999041</v>
      </c>
      <c r="W12" s="50">
        <f t="shared" si="1"/>
        <v>7.7408637873754156</v>
      </c>
      <c r="X12" s="50"/>
      <c r="Y12" s="52"/>
      <c r="Z12" s="50" t="s">
        <v>370</v>
      </c>
      <c r="AA12" s="182">
        <v>1353098.44</v>
      </c>
      <c r="AB12" s="211">
        <v>86613.87</v>
      </c>
      <c r="AC12" s="211">
        <v>120514.88</v>
      </c>
      <c r="AD12" s="211">
        <v>152425.41999999998</v>
      </c>
      <c r="AE12" s="211">
        <v>0</v>
      </c>
      <c r="AF12" s="275">
        <v>150000</v>
      </c>
      <c r="AG12" s="275">
        <v>150000</v>
      </c>
      <c r="AH12" s="275">
        <v>150000</v>
      </c>
      <c r="AI12" s="275">
        <v>175000</v>
      </c>
      <c r="AJ12" s="275">
        <v>175000</v>
      </c>
      <c r="AK12" s="275">
        <v>43544.27</v>
      </c>
      <c r="AL12" s="58"/>
      <c r="AM12" s="58"/>
      <c r="AN12" s="58"/>
      <c r="AO12" s="53"/>
      <c r="AP12" s="47"/>
      <c r="AQ12" s="53">
        <f t="shared" si="2"/>
        <v>1203098.44</v>
      </c>
      <c r="AR12" s="51"/>
      <c r="AS12" s="359">
        <f t="shared" si="3"/>
        <v>-150000</v>
      </c>
    </row>
    <row r="13" spans="1:47" s="36" customFormat="1" ht="15.75" x14ac:dyDescent="0.25">
      <c r="A13" s="374" t="s">
        <v>764</v>
      </c>
      <c r="B13" s="375" t="s">
        <v>765</v>
      </c>
      <c r="C13" s="52" t="s">
        <v>829</v>
      </c>
      <c r="D13" s="299" t="s">
        <v>886</v>
      </c>
      <c r="E13" s="52" t="s">
        <v>401</v>
      </c>
      <c r="F13" s="52" t="s">
        <v>890</v>
      </c>
      <c r="G13" s="34"/>
      <c r="H13" s="52" t="s">
        <v>912</v>
      </c>
      <c r="I13" s="330">
        <v>44615</v>
      </c>
      <c r="J13" s="52"/>
      <c r="K13" s="329">
        <v>44610</v>
      </c>
      <c r="L13" s="87">
        <v>44591</v>
      </c>
      <c r="M13" s="329">
        <v>44593</v>
      </c>
      <c r="N13" s="52">
        <v>44621</v>
      </c>
      <c r="O13" s="329">
        <v>44609</v>
      </c>
      <c r="P13" s="346">
        <f t="shared" si="4"/>
        <v>-1</v>
      </c>
      <c r="Q13" s="50">
        <f t="shared" si="0"/>
        <v>30</v>
      </c>
      <c r="R13" s="50">
        <f t="shared" si="0"/>
        <v>16</v>
      </c>
      <c r="S13" s="52" t="s">
        <v>370</v>
      </c>
      <c r="T13" s="377">
        <v>44636</v>
      </c>
      <c r="U13" s="490">
        <v>44867</v>
      </c>
      <c r="V13" s="50">
        <v>9.0000000000000497</v>
      </c>
      <c r="W13" s="50">
        <f t="shared" si="1"/>
        <v>7.6744186046511631</v>
      </c>
      <c r="X13" s="50"/>
      <c r="Y13" s="52"/>
      <c r="Z13" s="50"/>
      <c r="AA13" s="53">
        <v>1360000</v>
      </c>
      <c r="AB13" s="211">
        <v>0</v>
      </c>
      <c r="AC13" s="211">
        <v>0</v>
      </c>
      <c r="AD13" s="211">
        <v>170543</v>
      </c>
      <c r="AE13" s="211">
        <v>136059.07</v>
      </c>
      <c r="AF13" s="275">
        <v>150000</v>
      </c>
      <c r="AG13" s="275">
        <v>150000</v>
      </c>
      <c r="AH13" s="275">
        <v>150000</v>
      </c>
      <c r="AI13" s="275">
        <v>150000</v>
      </c>
      <c r="AJ13" s="275">
        <v>150000</v>
      </c>
      <c r="AK13" s="275">
        <v>150000</v>
      </c>
      <c r="AL13" s="275">
        <v>139457</v>
      </c>
      <c r="AM13" s="58"/>
      <c r="AN13" s="58"/>
      <c r="AO13" s="53"/>
      <c r="AP13" s="47"/>
      <c r="AQ13" s="53">
        <f t="shared" si="2"/>
        <v>1346059.07</v>
      </c>
      <c r="AR13" s="51"/>
      <c r="AS13" s="359">
        <f t="shared" si="3"/>
        <v>-13940.929999999935</v>
      </c>
      <c r="AU13" s="55"/>
    </row>
    <row r="14" spans="1:47" s="36" customFormat="1" ht="15.75" x14ac:dyDescent="0.25">
      <c r="A14" s="386" t="s">
        <v>768</v>
      </c>
      <c r="B14" s="393" t="s">
        <v>909</v>
      </c>
      <c r="C14" s="52" t="s">
        <v>829</v>
      </c>
      <c r="D14" s="299" t="s">
        <v>886</v>
      </c>
      <c r="E14" s="52" t="s">
        <v>401</v>
      </c>
      <c r="F14" s="52" t="s">
        <v>890</v>
      </c>
      <c r="G14" s="34"/>
      <c r="H14" s="52" t="s">
        <v>912</v>
      </c>
      <c r="I14" s="330">
        <v>44615</v>
      </c>
      <c r="J14" s="52"/>
      <c r="K14" s="329">
        <v>44610</v>
      </c>
      <c r="L14" s="87">
        <v>44591</v>
      </c>
      <c r="M14" s="329">
        <v>44593</v>
      </c>
      <c r="N14" s="52">
        <v>44636</v>
      </c>
      <c r="O14" s="329">
        <v>44609</v>
      </c>
      <c r="P14" s="346">
        <f t="shared" si="4"/>
        <v>-1</v>
      </c>
      <c r="Q14" s="50">
        <f t="shared" si="0"/>
        <v>45</v>
      </c>
      <c r="R14" s="50">
        <f t="shared" si="0"/>
        <v>16</v>
      </c>
      <c r="S14" s="52" t="s">
        <v>370</v>
      </c>
      <c r="T14" s="376">
        <f>O14+75</f>
        <v>44684</v>
      </c>
      <c r="U14" s="87">
        <f>T14+(6*4.3*7)</f>
        <v>44864.6</v>
      </c>
      <c r="V14" s="491">
        <v>5</v>
      </c>
      <c r="W14" s="50">
        <f t="shared" si="1"/>
        <v>5.999999999999952</v>
      </c>
      <c r="X14" s="50"/>
      <c r="Y14" s="52"/>
      <c r="Z14" s="50"/>
      <c r="AA14" s="53">
        <v>175000</v>
      </c>
      <c r="AB14" s="211">
        <v>0</v>
      </c>
      <c r="AC14" s="211">
        <v>0</v>
      </c>
      <c r="AD14" s="211">
        <v>0</v>
      </c>
      <c r="AE14" s="211">
        <v>0</v>
      </c>
      <c r="AF14" s="58"/>
      <c r="AG14" s="275">
        <v>15000</v>
      </c>
      <c r="AH14" s="275">
        <v>15000</v>
      </c>
      <c r="AI14" s="275">
        <v>20000</v>
      </c>
      <c r="AJ14" s="275">
        <v>50000</v>
      </c>
      <c r="AK14" s="275">
        <v>50000</v>
      </c>
      <c r="AL14" s="275">
        <v>25000</v>
      </c>
      <c r="AM14" s="58"/>
      <c r="AN14" s="58"/>
      <c r="AO14" s="53"/>
      <c r="AP14" s="47"/>
      <c r="AQ14" s="53">
        <f t="shared" si="2"/>
        <v>175000</v>
      </c>
      <c r="AR14" s="51"/>
      <c r="AS14" s="359">
        <f t="shared" si="3"/>
        <v>0</v>
      </c>
      <c r="AU14" s="55"/>
    </row>
    <row r="15" spans="1:47" s="36" customFormat="1" ht="15.75" x14ac:dyDescent="0.25">
      <c r="A15" s="374" t="s">
        <v>770</v>
      </c>
      <c r="B15" s="375" t="s">
        <v>910</v>
      </c>
      <c r="C15" s="52" t="s">
        <v>829</v>
      </c>
      <c r="D15" s="299" t="s">
        <v>886</v>
      </c>
      <c r="E15" s="52" t="s">
        <v>401</v>
      </c>
      <c r="F15" s="52" t="s">
        <v>890</v>
      </c>
      <c r="G15" s="34"/>
      <c r="H15" s="52" t="s">
        <v>912</v>
      </c>
      <c r="I15" s="330">
        <v>44615</v>
      </c>
      <c r="J15" s="52"/>
      <c r="K15" s="329">
        <v>44610</v>
      </c>
      <c r="L15" s="87">
        <v>44591</v>
      </c>
      <c r="M15" s="329">
        <v>44593</v>
      </c>
      <c r="N15" s="52">
        <v>44636</v>
      </c>
      <c r="O15" s="329">
        <v>44609</v>
      </c>
      <c r="P15" s="346">
        <f t="shared" si="4"/>
        <v>-1</v>
      </c>
      <c r="Q15" s="50">
        <f t="shared" si="0"/>
        <v>45</v>
      </c>
      <c r="R15" s="50">
        <f t="shared" si="0"/>
        <v>16</v>
      </c>
      <c r="S15" s="52" t="s">
        <v>370</v>
      </c>
      <c r="T15" s="376">
        <f>O15+75</f>
        <v>44684</v>
      </c>
      <c r="U15" s="87">
        <f>T15+(6*4.3*7)</f>
        <v>44864.6</v>
      </c>
      <c r="V15" s="491">
        <v>5</v>
      </c>
      <c r="W15" s="50">
        <f t="shared" si="1"/>
        <v>5.999999999999952</v>
      </c>
      <c r="X15" s="50"/>
      <c r="Y15" s="330">
        <v>44656</v>
      </c>
      <c r="Z15" s="50"/>
      <c r="AA15" s="53">
        <v>300000</v>
      </c>
      <c r="AB15" s="211">
        <v>0</v>
      </c>
      <c r="AC15" s="211">
        <v>0</v>
      </c>
      <c r="AD15" s="211">
        <v>0</v>
      </c>
      <c r="AE15" s="211">
        <v>0</v>
      </c>
      <c r="AF15" s="58"/>
      <c r="AG15" s="275">
        <v>50000</v>
      </c>
      <c r="AH15" s="275">
        <v>50000</v>
      </c>
      <c r="AI15" s="275">
        <v>50000</v>
      </c>
      <c r="AJ15" s="275">
        <v>75000</v>
      </c>
      <c r="AK15" s="275">
        <v>50000</v>
      </c>
      <c r="AL15" s="275">
        <v>25000</v>
      </c>
      <c r="AM15" s="58"/>
      <c r="AN15" s="58"/>
      <c r="AO15" s="53"/>
      <c r="AP15" s="47"/>
      <c r="AQ15" s="53">
        <f t="shared" si="2"/>
        <v>300000</v>
      </c>
      <c r="AR15" s="51"/>
      <c r="AS15" s="359">
        <f t="shared" si="3"/>
        <v>0</v>
      </c>
    </row>
    <row r="16" spans="1:47" s="36" customFormat="1" ht="15.75" x14ac:dyDescent="0.25">
      <c r="A16" s="374" t="s">
        <v>771</v>
      </c>
      <c r="B16" s="410" t="s">
        <v>939</v>
      </c>
      <c r="C16" s="52" t="s">
        <v>829</v>
      </c>
      <c r="D16" s="299" t="s">
        <v>886</v>
      </c>
      <c r="E16" s="52" t="s">
        <v>401</v>
      </c>
      <c r="F16" s="52" t="s">
        <v>890</v>
      </c>
      <c r="G16" s="34"/>
      <c r="H16" s="52" t="s">
        <v>623</v>
      </c>
      <c r="I16" s="330" t="s">
        <v>320</v>
      </c>
      <c r="J16" s="52"/>
      <c r="K16" s="329">
        <v>44610</v>
      </c>
      <c r="L16" s="87">
        <v>44591</v>
      </c>
      <c r="M16" s="329">
        <v>44713</v>
      </c>
      <c r="N16" s="52">
        <v>44636</v>
      </c>
      <c r="O16" s="87">
        <f>M16+45</f>
        <v>44758</v>
      </c>
      <c r="P16" s="88">
        <f t="shared" si="4"/>
        <v>148</v>
      </c>
      <c r="Q16" s="50">
        <f t="shared" si="0"/>
        <v>45</v>
      </c>
      <c r="R16" s="50">
        <f t="shared" si="0"/>
        <v>45</v>
      </c>
      <c r="S16" s="52" t="s">
        <v>320</v>
      </c>
      <c r="T16" s="376">
        <f>O16+30</f>
        <v>44788</v>
      </c>
      <c r="U16" s="490">
        <f>T16+(4*4.3*7)</f>
        <v>44908.4</v>
      </c>
      <c r="V16" s="491">
        <v>5</v>
      </c>
      <c r="W16" s="50">
        <f t="shared" si="1"/>
        <v>4.0000000000000488</v>
      </c>
      <c r="X16" s="50"/>
      <c r="Y16" s="52"/>
      <c r="Z16" s="50"/>
      <c r="AA16" s="53">
        <v>95000</v>
      </c>
      <c r="AB16" s="211">
        <v>0</v>
      </c>
      <c r="AC16" s="211">
        <v>0</v>
      </c>
      <c r="AD16" s="211">
        <v>0</v>
      </c>
      <c r="AE16" s="211">
        <v>0</v>
      </c>
      <c r="AF16" s="58"/>
      <c r="AG16" s="58"/>
      <c r="AH16" s="58"/>
      <c r="AI16" s="58"/>
      <c r="AJ16" s="275">
        <v>30000</v>
      </c>
      <c r="AK16" s="275">
        <v>35000</v>
      </c>
      <c r="AL16" s="275">
        <v>30000</v>
      </c>
      <c r="AM16" s="58"/>
      <c r="AN16" s="58"/>
      <c r="AO16" s="53"/>
      <c r="AP16" s="47"/>
      <c r="AQ16" s="53">
        <f t="shared" si="2"/>
        <v>95000</v>
      </c>
      <c r="AR16" s="51"/>
      <c r="AS16" s="359">
        <f t="shared" si="3"/>
        <v>0</v>
      </c>
      <c r="AU16" s="55"/>
    </row>
    <row r="17" spans="1:47" s="36" customFormat="1" ht="15.75" x14ac:dyDescent="0.25">
      <c r="A17" s="374" t="s">
        <v>916</v>
      </c>
      <c r="B17" s="410" t="s">
        <v>766</v>
      </c>
      <c r="C17" s="432" t="s">
        <v>830</v>
      </c>
      <c r="D17" s="299" t="s">
        <v>886</v>
      </c>
      <c r="E17" s="52" t="s">
        <v>401</v>
      </c>
      <c r="F17" s="422" t="s">
        <v>892</v>
      </c>
      <c r="G17" s="57"/>
      <c r="H17" s="52" t="s">
        <v>46</v>
      </c>
      <c r="I17" s="329">
        <v>44621</v>
      </c>
      <c r="J17" s="432"/>
      <c r="K17" s="329">
        <v>44616</v>
      </c>
      <c r="L17" s="87">
        <v>44601</v>
      </c>
      <c r="M17" s="329">
        <v>44593</v>
      </c>
      <c r="N17" s="87">
        <v>44646</v>
      </c>
      <c r="O17" s="329">
        <v>44623</v>
      </c>
      <c r="P17" s="346">
        <f>O17-K17</f>
        <v>7</v>
      </c>
      <c r="Q17" s="50">
        <f>N17-L17</f>
        <v>45</v>
      </c>
      <c r="R17" s="333">
        <f>O17-M17</f>
        <v>30</v>
      </c>
      <c r="S17" s="52" t="s">
        <v>370</v>
      </c>
      <c r="T17" s="377">
        <v>44648</v>
      </c>
      <c r="U17" s="52">
        <f>T17+(9*4.3*7)</f>
        <v>44918.9</v>
      </c>
      <c r="V17" s="50">
        <v>9.0000000000000497</v>
      </c>
      <c r="W17" s="50">
        <f>((U17-T17)/7)/4.3</f>
        <v>9.0000000000000497</v>
      </c>
      <c r="X17" s="50"/>
      <c r="Y17" s="52"/>
      <c r="Z17" s="50"/>
      <c r="AA17" s="53">
        <v>1200000</v>
      </c>
      <c r="AB17" s="211">
        <v>0</v>
      </c>
      <c r="AC17" s="211">
        <v>0</v>
      </c>
      <c r="AD17" s="211">
        <v>129788.5</v>
      </c>
      <c r="AE17" s="211">
        <v>138269.44</v>
      </c>
      <c r="AF17" s="275">
        <v>100000</v>
      </c>
      <c r="AG17" s="275">
        <v>100000</v>
      </c>
      <c r="AH17" s="275">
        <v>100000</v>
      </c>
      <c r="AI17" s="275">
        <v>125000</v>
      </c>
      <c r="AJ17" s="275">
        <v>125000</v>
      </c>
      <c r="AK17" s="275">
        <v>125000</v>
      </c>
      <c r="AL17" s="275">
        <v>125000</v>
      </c>
      <c r="AM17" s="275">
        <v>125000</v>
      </c>
      <c r="AN17" s="275">
        <v>45211.5</v>
      </c>
      <c r="AO17" s="53"/>
      <c r="AP17" s="47"/>
      <c r="AQ17" s="53">
        <f>SUM(AB17:AP17)</f>
        <v>1238269.4399999999</v>
      </c>
      <c r="AR17" s="51"/>
      <c r="AS17" s="359">
        <f>AQ17-AA17</f>
        <v>38269.439999999944</v>
      </c>
      <c r="AU17" s="55"/>
    </row>
    <row r="18" spans="1:47" s="36" customFormat="1" ht="15.75" x14ac:dyDescent="0.25">
      <c r="A18" s="374" t="s">
        <v>919</v>
      </c>
      <c r="B18" s="374" t="s">
        <v>935</v>
      </c>
      <c r="C18" s="406" t="s">
        <v>830</v>
      </c>
      <c r="D18" s="299" t="s">
        <v>886</v>
      </c>
      <c r="E18" s="406" t="s">
        <v>401</v>
      </c>
      <c r="F18" s="394" t="s">
        <v>892</v>
      </c>
      <c r="G18" s="407"/>
      <c r="H18" s="52" t="s">
        <v>623</v>
      </c>
      <c r="I18" s="87" t="s">
        <v>320</v>
      </c>
      <c r="J18" s="406"/>
      <c r="K18" s="329">
        <v>44616</v>
      </c>
      <c r="L18" s="87">
        <v>44601</v>
      </c>
      <c r="M18" s="87">
        <v>44743</v>
      </c>
      <c r="N18" s="87">
        <v>44646</v>
      </c>
      <c r="O18" s="87">
        <f>M18+45</f>
        <v>44788</v>
      </c>
      <c r="P18" s="88">
        <f>O18-K18</f>
        <v>172</v>
      </c>
      <c r="Q18" s="50">
        <f>N18-L18</f>
        <v>45</v>
      </c>
      <c r="R18" s="50">
        <f>O18-M18</f>
        <v>45</v>
      </c>
      <c r="S18" s="52" t="s">
        <v>320</v>
      </c>
      <c r="T18" s="376">
        <f>O18+30</f>
        <v>44818</v>
      </c>
      <c r="U18" s="52">
        <f>T18+(4*4.3*7)</f>
        <v>44938.400000000001</v>
      </c>
      <c r="V18" s="88">
        <v>4</v>
      </c>
      <c r="W18" s="50">
        <f>((U18-T18)/7)/4.3</f>
        <v>4.0000000000000488</v>
      </c>
      <c r="X18" s="50"/>
      <c r="Y18" s="52"/>
      <c r="Z18" s="50"/>
      <c r="AA18" s="53"/>
      <c r="AB18" s="211">
        <v>0</v>
      </c>
      <c r="AC18" s="211">
        <v>0</v>
      </c>
      <c r="AD18" s="211">
        <v>0</v>
      </c>
      <c r="AE18" s="211">
        <v>0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3"/>
      <c r="AP18" s="47"/>
      <c r="AQ18" s="53">
        <f>SUM(AB18:AP18)</f>
        <v>0</v>
      </c>
      <c r="AR18" s="51"/>
      <c r="AS18" s="359">
        <f>AQ18-AA18</f>
        <v>0</v>
      </c>
    </row>
    <row r="19" spans="1:47" s="36" customFormat="1" ht="15.75" x14ac:dyDescent="0.25">
      <c r="A19" s="374" t="s">
        <v>917</v>
      </c>
      <c r="B19" s="375" t="s">
        <v>914</v>
      </c>
      <c r="C19" s="87" t="s">
        <v>830</v>
      </c>
      <c r="D19" s="299" t="s">
        <v>886</v>
      </c>
      <c r="E19" s="52" t="s">
        <v>401</v>
      </c>
      <c r="F19" s="52" t="s">
        <v>892</v>
      </c>
      <c r="G19" s="56"/>
      <c r="H19" s="52" t="s">
        <v>912</v>
      </c>
      <c r="I19" s="329">
        <v>44621</v>
      </c>
      <c r="J19" s="87"/>
      <c r="K19" s="329">
        <v>44616</v>
      </c>
      <c r="L19" s="87">
        <v>44601</v>
      </c>
      <c r="M19" s="329">
        <v>44638</v>
      </c>
      <c r="N19" s="87">
        <v>44646</v>
      </c>
      <c r="O19" s="87">
        <v>44664</v>
      </c>
      <c r="P19" s="88">
        <f t="shared" si="4"/>
        <v>48</v>
      </c>
      <c r="Q19" s="50">
        <f t="shared" si="0"/>
        <v>45</v>
      </c>
      <c r="R19" s="50">
        <f t="shared" si="0"/>
        <v>26</v>
      </c>
      <c r="S19" s="52" t="s">
        <v>320</v>
      </c>
      <c r="T19" s="376">
        <f>O19+30</f>
        <v>44694</v>
      </c>
      <c r="U19" s="87">
        <f>T19+(4*4.3*7)</f>
        <v>44814.400000000001</v>
      </c>
      <c r="V19" s="88">
        <v>4</v>
      </c>
      <c r="W19" s="50">
        <f t="shared" si="1"/>
        <v>4.0000000000000488</v>
      </c>
      <c r="X19" s="50"/>
      <c r="Y19" s="52"/>
      <c r="Z19" s="50"/>
      <c r="AA19" s="53">
        <v>300000</v>
      </c>
      <c r="AB19" s="211">
        <v>0</v>
      </c>
      <c r="AC19" s="211">
        <v>0</v>
      </c>
      <c r="AD19" s="211">
        <v>0</v>
      </c>
      <c r="AE19" s="211">
        <v>0</v>
      </c>
      <c r="AF19" s="58"/>
      <c r="AG19" s="58"/>
      <c r="AH19" s="58"/>
      <c r="AI19" s="58"/>
      <c r="AJ19" s="58"/>
      <c r="AK19" s="275">
        <v>50000</v>
      </c>
      <c r="AL19" s="275">
        <v>50000</v>
      </c>
      <c r="AM19" s="275">
        <v>75000</v>
      </c>
      <c r="AN19" s="275">
        <v>75000</v>
      </c>
      <c r="AO19" s="275">
        <v>50000</v>
      </c>
      <c r="AP19" s="47"/>
      <c r="AQ19" s="53">
        <f t="shared" si="2"/>
        <v>300000</v>
      </c>
      <c r="AR19" s="51"/>
      <c r="AS19" s="359">
        <f t="shared" si="3"/>
        <v>0</v>
      </c>
    </row>
    <row r="20" spans="1:47" s="36" customFormat="1" ht="15.75" x14ac:dyDescent="0.25">
      <c r="A20" s="374" t="s">
        <v>918</v>
      </c>
      <c r="B20" s="374" t="s">
        <v>915</v>
      </c>
      <c r="C20" s="406" t="s">
        <v>830</v>
      </c>
      <c r="D20" s="299" t="s">
        <v>886</v>
      </c>
      <c r="E20" s="394" t="s">
        <v>401</v>
      </c>
      <c r="F20" s="394" t="s">
        <v>892</v>
      </c>
      <c r="G20" s="407"/>
      <c r="H20" s="52" t="s">
        <v>623</v>
      </c>
      <c r="I20" s="87" t="s">
        <v>320</v>
      </c>
      <c r="J20" s="406"/>
      <c r="K20" s="329">
        <v>44616</v>
      </c>
      <c r="L20" s="87">
        <v>44601</v>
      </c>
      <c r="M20" s="87">
        <v>44743</v>
      </c>
      <c r="N20" s="87">
        <v>44646</v>
      </c>
      <c r="O20" s="87">
        <f>M20+45</f>
        <v>44788</v>
      </c>
      <c r="P20" s="88">
        <f t="shared" si="4"/>
        <v>172</v>
      </c>
      <c r="Q20" s="50">
        <f t="shared" si="0"/>
        <v>45</v>
      </c>
      <c r="R20" s="50">
        <f t="shared" si="0"/>
        <v>45</v>
      </c>
      <c r="S20" s="52" t="s">
        <v>320</v>
      </c>
      <c r="T20" s="376">
        <f>O20+30</f>
        <v>44818</v>
      </c>
      <c r="U20" s="87">
        <f>T20+(4*4.3*7)</f>
        <v>44938.400000000001</v>
      </c>
      <c r="V20" s="88">
        <v>4</v>
      </c>
      <c r="W20" s="50">
        <f t="shared" si="1"/>
        <v>4.0000000000000488</v>
      </c>
      <c r="X20" s="50"/>
      <c r="Y20" s="52"/>
      <c r="Z20" s="50"/>
      <c r="AA20" s="53"/>
      <c r="AB20" s="211">
        <v>0</v>
      </c>
      <c r="AC20" s="211">
        <v>0</v>
      </c>
      <c r="AD20" s="211">
        <v>0</v>
      </c>
      <c r="AE20" s="211">
        <v>0</v>
      </c>
      <c r="AF20" s="58"/>
      <c r="AG20" s="58"/>
      <c r="AH20" s="58"/>
      <c r="AI20" s="58"/>
      <c r="AJ20" s="58"/>
      <c r="AK20" s="58"/>
      <c r="AL20" s="58"/>
      <c r="AM20" s="58"/>
      <c r="AN20" s="58"/>
      <c r="AO20" s="53"/>
      <c r="AP20" s="47"/>
      <c r="AQ20" s="53">
        <f t="shared" si="2"/>
        <v>0</v>
      </c>
      <c r="AR20" s="51"/>
      <c r="AS20" s="359">
        <f t="shared" si="3"/>
        <v>0</v>
      </c>
    </row>
    <row r="21" spans="1:47" s="36" customFormat="1" ht="15.75" x14ac:dyDescent="0.25">
      <c r="A21" s="111" t="s">
        <v>224</v>
      </c>
      <c r="B21" s="112" t="s">
        <v>680</v>
      </c>
      <c r="C21" s="422" t="s">
        <v>474</v>
      </c>
      <c r="D21" s="299" t="s">
        <v>886</v>
      </c>
      <c r="E21" s="87" t="s">
        <v>24</v>
      </c>
      <c r="F21" s="299" t="s">
        <v>890</v>
      </c>
      <c r="G21" s="61" t="s">
        <v>689</v>
      </c>
      <c r="H21" s="52" t="s">
        <v>46</v>
      </c>
      <c r="I21" s="329">
        <v>44501</v>
      </c>
      <c r="J21" s="422"/>
      <c r="K21" s="330" t="s">
        <v>370</v>
      </c>
      <c r="L21" s="87">
        <v>44365</v>
      </c>
      <c r="M21" s="330">
        <v>44365</v>
      </c>
      <c r="N21" s="299">
        <v>44489</v>
      </c>
      <c r="O21" s="329">
        <v>44489</v>
      </c>
      <c r="P21" s="346" t="e">
        <f t="shared" si="4"/>
        <v>#VALUE!</v>
      </c>
      <c r="Q21" s="301">
        <f t="shared" si="0"/>
        <v>124</v>
      </c>
      <c r="R21" s="333">
        <f t="shared" si="0"/>
        <v>124</v>
      </c>
      <c r="S21" s="52" t="s">
        <v>370</v>
      </c>
      <c r="T21" s="329">
        <f>O21+15</f>
        <v>44504</v>
      </c>
      <c r="U21" s="52">
        <v>44651</v>
      </c>
      <c r="V21" s="88">
        <v>4.8837209302325579</v>
      </c>
      <c r="W21" s="88">
        <f t="shared" si="1"/>
        <v>4.8837209302325579</v>
      </c>
      <c r="X21" s="88"/>
      <c r="Y21" s="87"/>
      <c r="Z21" s="88" t="s">
        <v>370</v>
      </c>
      <c r="AA21" s="182">
        <v>1207444.74</v>
      </c>
      <c r="AB21" s="211">
        <v>527222.15999999992</v>
      </c>
      <c r="AC21" s="211">
        <v>0</v>
      </c>
      <c r="AD21" s="211">
        <v>255699</v>
      </c>
      <c r="AE21" s="211">
        <v>424523.58</v>
      </c>
      <c r="AF21" s="275">
        <v>74523.58</v>
      </c>
      <c r="AG21" s="58"/>
      <c r="AH21" s="58"/>
      <c r="AI21" s="58"/>
      <c r="AJ21" s="58"/>
      <c r="AK21" s="58"/>
      <c r="AL21" s="58"/>
      <c r="AM21" s="58"/>
      <c r="AN21" s="58"/>
      <c r="AO21" s="53"/>
      <c r="AP21" s="47"/>
      <c r="AQ21" s="53">
        <f t="shared" si="2"/>
        <v>1281968.32</v>
      </c>
      <c r="AR21" s="51"/>
      <c r="AS21" s="359">
        <f t="shared" si="3"/>
        <v>74523.580000000075</v>
      </c>
      <c r="AU21" s="55"/>
    </row>
    <row r="22" spans="1:47" s="36" customFormat="1" ht="15.75" x14ac:dyDescent="0.25">
      <c r="A22" s="443"/>
      <c r="B22" s="444"/>
      <c r="C22" s="446"/>
      <c r="D22" s="446"/>
      <c r="E22" s="445"/>
      <c r="F22" s="446"/>
      <c r="G22" s="444"/>
      <c r="H22" s="445"/>
      <c r="I22" s="445"/>
      <c r="J22" s="446"/>
      <c r="K22" s="445"/>
      <c r="L22" s="445"/>
      <c r="M22" s="445"/>
      <c r="N22" s="445"/>
      <c r="O22" s="445"/>
      <c r="P22" s="447"/>
      <c r="Q22" s="445"/>
      <c r="R22" s="447"/>
      <c r="S22" s="445"/>
      <c r="T22" s="445"/>
      <c r="U22" s="445"/>
      <c r="V22" s="447"/>
      <c r="W22" s="445"/>
      <c r="X22" s="447"/>
      <c r="Y22" s="445"/>
      <c r="Z22" s="447"/>
      <c r="AA22" s="448">
        <f t="shared" ref="AA22:AO22" si="5">SUBTOTAL(9,AA4:AA21)</f>
        <v>12450556.43</v>
      </c>
      <c r="AB22" s="243">
        <f t="shared" si="5"/>
        <v>4236658.5600000005</v>
      </c>
      <c r="AC22" s="243">
        <f t="shared" si="5"/>
        <v>530325.79</v>
      </c>
      <c r="AD22" s="243">
        <f t="shared" si="5"/>
        <v>961487.58</v>
      </c>
      <c r="AE22" s="448">
        <f t="shared" si="5"/>
        <v>1156818.76</v>
      </c>
      <c r="AF22" s="448">
        <f t="shared" si="5"/>
        <v>889523.58</v>
      </c>
      <c r="AG22" s="448">
        <f t="shared" si="5"/>
        <v>802908.75</v>
      </c>
      <c r="AH22" s="448">
        <f t="shared" si="5"/>
        <v>760876.72</v>
      </c>
      <c r="AI22" s="448">
        <f t="shared" si="5"/>
        <v>660000</v>
      </c>
      <c r="AJ22" s="448">
        <f>SUBTOTAL(9,AJ4:AJ21)</f>
        <v>665000</v>
      </c>
      <c r="AK22" s="448">
        <f t="shared" si="5"/>
        <v>503544.27</v>
      </c>
      <c r="AL22" s="448">
        <f t="shared" si="5"/>
        <v>394457</v>
      </c>
      <c r="AM22" s="448">
        <f t="shared" si="5"/>
        <v>200000</v>
      </c>
      <c r="AN22" s="448">
        <f t="shared" si="5"/>
        <v>120211.5</v>
      </c>
      <c r="AO22" s="448">
        <f t="shared" si="5"/>
        <v>50000</v>
      </c>
      <c r="AP22" s="449"/>
      <c r="AQ22" s="448">
        <f>SUBTOTAL(9,AQ4:AQ21)</f>
        <v>11931812.510000002</v>
      </c>
      <c r="AR22" s="450"/>
      <c r="AS22" s="451">
        <f t="shared" si="3"/>
        <v>-518743.91999999806</v>
      </c>
      <c r="AT22" s="453"/>
      <c r="AU22" s="452"/>
    </row>
    <row r="23" spans="1:47" s="36" customFormat="1" ht="15.75" x14ac:dyDescent="0.25">
      <c r="A23" s="381" t="s">
        <v>571</v>
      </c>
      <c r="B23" s="106"/>
      <c r="C23" s="420"/>
      <c r="D23" s="420"/>
      <c r="E23" s="102"/>
      <c r="F23" s="420"/>
      <c r="G23" s="106"/>
      <c r="H23" s="102"/>
      <c r="I23" s="102"/>
      <c r="J23" s="420"/>
      <c r="K23" s="102"/>
      <c r="L23" s="102"/>
      <c r="M23" s="276"/>
      <c r="N23" s="276"/>
      <c r="O23" s="276"/>
      <c r="P23" s="84"/>
      <c r="Q23" s="276"/>
      <c r="R23" s="84"/>
      <c r="S23" s="102"/>
      <c r="T23" s="102"/>
      <c r="U23" s="102"/>
      <c r="V23" s="84"/>
      <c r="W23" s="102"/>
      <c r="X23" s="102"/>
      <c r="Y23" s="276"/>
      <c r="Z23" s="102"/>
      <c r="AA23" s="102"/>
      <c r="AB23" s="495"/>
      <c r="AC23" s="495"/>
      <c r="AD23" s="495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47"/>
      <c r="AQ23" s="103"/>
      <c r="AR23" s="51"/>
      <c r="AS23" s="451">
        <f t="shared" si="3"/>
        <v>0</v>
      </c>
      <c r="AU23" s="55"/>
    </row>
    <row r="24" spans="1:47" s="36" customFormat="1" ht="15.75" x14ac:dyDescent="0.25">
      <c r="A24" s="319" t="s">
        <v>881</v>
      </c>
      <c r="B24" s="320" t="s">
        <v>913</v>
      </c>
      <c r="C24" s="425" t="s">
        <v>265</v>
      </c>
      <c r="D24" s="425" t="s">
        <v>874</v>
      </c>
      <c r="E24" s="321" t="s">
        <v>873</v>
      </c>
      <c r="F24" s="425" t="s">
        <v>890</v>
      </c>
      <c r="G24" s="337" t="s">
        <v>264</v>
      </c>
      <c r="H24" s="321" t="s">
        <v>46</v>
      </c>
      <c r="I24" s="321">
        <v>44238</v>
      </c>
      <c r="J24" s="425"/>
      <c r="K24" s="332" t="s">
        <v>370</v>
      </c>
      <c r="L24" s="321">
        <v>44348</v>
      </c>
      <c r="M24" s="332">
        <v>44348</v>
      </c>
      <c r="N24" s="339">
        <v>44362</v>
      </c>
      <c r="O24" s="332">
        <v>44362</v>
      </c>
      <c r="P24" s="343" t="e">
        <f t="shared" ref="P24:P35" si="6">O24-K24</f>
        <v>#VALUE!</v>
      </c>
      <c r="Q24" s="371">
        <f t="shared" ref="Q24:R26" si="7">N24-L24</f>
        <v>14</v>
      </c>
      <c r="R24" s="343">
        <f t="shared" si="7"/>
        <v>14</v>
      </c>
      <c r="S24" s="321" t="s">
        <v>370</v>
      </c>
      <c r="T24" s="332">
        <v>44344</v>
      </c>
      <c r="U24" s="332">
        <v>44497</v>
      </c>
      <c r="V24" s="322">
        <v>5</v>
      </c>
      <c r="W24" s="343">
        <f>((U24-T24)/7)/4.3</f>
        <v>5.0830564784053163</v>
      </c>
      <c r="X24" s="322"/>
      <c r="Y24" s="321"/>
      <c r="Z24" s="322" t="s">
        <v>370</v>
      </c>
      <c r="AA24" s="323">
        <v>89125</v>
      </c>
      <c r="AB24" s="211">
        <v>58100</v>
      </c>
      <c r="AC24" s="211">
        <v>0</v>
      </c>
      <c r="AD24" s="211">
        <v>0</v>
      </c>
      <c r="AE24" s="211">
        <v>80387.149999999994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53"/>
      <c r="AP24" s="47"/>
      <c r="AQ24" s="53">
        <f>SUM(AB24:AP24)</f>
        <v>138487.15</v>
      </c>
      <c r="AR24" s="51"/>
      <c r="AS24" s="359">
        <f>AQ24-AA24</f>
        <v>49362.149999999994</v>
      </c>
    </row>
    <row r="25" spans="1:47" s="36" customFormat="1" ht="15.75" x14ac:dyDescent="0.25">
      <c r="A25" s="374" t="s">
        <v>266</v>
      </c>
      <c r="B25" s="374" t="s">
        <v>928</v>
      </c>
      <c r="C25" s="432" t="s">
        <v>833</v>
      </c>
      <c r="D25" s="432" t="s">
        <v>874</v>
      </c>
      <c r="E25" s="52" t="s">
        <v>873</v>
      </c>
      <c r="F25" s="422" t="s">
        <v>890</v>
      </c>
      <c r="G25" s="57" t="s">
        <v>862</v>
      </c>
      <c r="H25" s="52" t="s">
        <v>623</v>
      </c>
      <c r="I25" s="52" t="s">
        <v>320</v>
      </c>
      <c r="J25" s="432"/>
      <c r="K25" s="87">
        <v>44681</v>
      </c>
      <c r="L25" s="87">
        <v>44601</v>
      </c>
      <c r="M25" s="329">
        <v>44655</v>
      </c>
      <c r="N25" s="87">
        <v>44620</v>
      </c>
      <c r="O25" s="87">
        <f>M25+30</f>
        <v>44685</v>
      </c>
      <c r="P25" s="88">
        <f>O25-K25</f>
        <v>4</v>
      </c>
      <c r="Q25" s="50">
        <f>N25-L25</f>
        <v>19</v>
      </c>
      <c r="R25" s="50">
        <f>O25-M25</f>
        <v>30</v>
      </c>
      <c r="S25" s="52" t="s">
        <v>320</v>
      </c>
      <c r="T25" s="376">
        <f>O25</f>
        <v>44685</v>
      </c>
      <c r="U25" s="87">
        <f>T25+150</f>
        <v>44835</v>
      </c>
      <c r="V25" s="88">
        <v>2.5249169435215948</v>
      </c>
      <c r="W25" s="88">
        <f>((U25-T25)/7)/4.3</f>
        <v>4.9833887043189371</v>
      </c>
      <c r="X25" s="50"/>
      <c r="Y25" s="52"/>
      <c r="Z25" s="50"/>
      <c r="AA25" s="53">
        <v>725000</v>
      </c>
      <c r="AB25" s="211">
        <v>0</v>
      </c>
      <c r="AC25" s="211">
        <v>0</v>
      </c>
      <c r="AD25" s="211">
        <v>0</v>
      </c>
      <c r="AE25" s="211">
        <v>0</v>
      </c>
      <c r="AF25" s="275"/>
      <c r="AG25" s="275"/>
      <c r="AH25" s="275"/>
      <c r="AI25" s="275"/>
      <c r="AJ25" s="275"/>
      <c r="AK25" s="275"/>
      <c r="AL25" s="275"/>
      <c r="AM25" s="275"/>
      <c r="AN25" s="275">
        <v>725000</v>
      </c>
      <c r="AO25" s="53"/>
      <c r="AP25" s="47"/>
      <c r="AQ25" s="53">
        <f>SUM(AB25:AP25)</f>
        <v>725000</v>
      </c>
      <c r="AR25" s="51"/>
      <c r="AS25" s="359">
        <f>AQ25-AA25</f>
        <v>0</v>
      </c>
    </row>
    <row r="26" spans="1:47" s="36" customFormat="1" ht="15.75" x14ac:dyDescent="0.25">
      <c r="A26" s="336" t="s">
        <v>60</v>
      </c>
      <c r="B26" s="337" t="s">
        <v>377</v>
      </c>
      <c r="C26" s="402" t="s">
        <v>64</v>
      </c>
      <c r="D26" s="402" t="s">
        <v>874</v>
      </c>
      <c r="E26" s="402" t="s">
        <v>631</v>
      </c>
      <c r="F26" s="425" t="s">
        <v>24</v>
      </c>
      <c r="G26" s="337" t="s">
        <v>62</v>
      </c>
      <c r="H26" s="321" t="s">
        <v>46</v>
      </c>
      <c r="I26" s="332">
        <v>44105</v>
      </c>
      <c r="J26" s="402"/>
      <c r="K26" s="332" t="s">
        <v>370</v>
      </c>
      <c r="L26" s="321">
        <v>44054</v>
      </c>
      <c r="M26" s="332">
        <v>44054</v>
      </c>
      <c r="N26" s="339">
        <v>44147</v>
      </c>
      <c r="O26" s="332">
        <v>44147</v>
      </c>
      <c r="P26" s="343" t="e">
        <f t="shared" si="6"/>
        <v>#VALUE!</v>
      </c>
      <c r="Q26" s="371">
        <f t="shared" si="7"/>
        <v>93</v>
      </c>
      <c r="R26" s="343">
        <f t="shared" si="7"/>
        <v>93</v>
      </c>
      <c r="S26" s="321" t="s">
        <v>370</v>
      </c>
      <c r="T26" s="332">
        <v>44119</v>
      </c>
      <c r="U26" s="321">
        <v>44531</v>
      </c>
      <c r="V26" s="322">
        <v>14</v>
      </c>
      <c r="W26" s="322">
        <f t="shared" ref="W26" si="8">((U26-T26)/7)/4.3</f>
        <v>13.687707641196013</v>
      </c>
      <c r="X26" s="322"/>
      <c r="Y26" s="321"/>
      <c r="Z26" s="322" t="s">
        <v>370</v>
      </c>
      <c r="AA26" s="323">
        <v>14188397.560000001</v>
      </c>
      <c r="AB26" s="211">
        <v>13413397.559999997</v>
      </c>
      <c r="AC26" s="211">
        <v>812671.7</v>
      </c>
      <c r="AD26" s="211">
        <v>0</v>
      </c>
      <c r="AE26" s="211">
        <v>81884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3"/>
      <c r="AP26" s="47"/>
      <c r="AQ26" s="53">
        <f t="shared" ref="AQ26:AQ28" si="9">SUM(AB26:AP26)</f>
        <v>14307953.259999996</v>
      </c>
      <c r="AR26" s="51"/>
      <c r="AS26" s="359">
        <f t="shared" ref="AS26:AS88" si="10">AQ26-AA26</f>
        <v>119555.69999999553</v>
      </c>
    </row>
    <row r="27" spans="1:47" s="36" customFormat="1" ht="15.75" x14ac:dyDescent="0.25">
      <c r="A27" s="113" t="s">
        <v>102</v>
      </c>
      <c r="B27" s="114" t="s">
        <v>385</v>
      </c>
      <c r="C27" s="422" t="s">
        <v>813</v>
      </c>
      <c r="D27" s="422" t="s">
        <v>874</v>
      </c>
      <c r="E27" s="52" t="s">
        <v>873</v>
      </c>
      <c r="F27" s="423" t="s">
        <v>890</v>
      </c>
      <c r="G27" s="114" t="s">
        <v>626</v>
      </c>
      <c r="H27" s="52" t="s">
        <v>46</v>
      </c>
      <c r="I27" s="329" t="s">
        <v>24</v>
      </c>
      <c r="J27" s="422"/>
      <c r="K27" s="330" t="s">
        <v>370</v>
      </c>
      <c r="L27" s="330" t="s">
        <v>24</v>
      </c>
      <c r="M27" s="330" t="s">
        <v>24</v>
      </c>
      <c r="N27" s="330" t="s">
        <v>24</v>
      </c>
      <c r="O27" s="330" t="s">
        <v>24</v>
      </c>
      <c r="P27" s="333" t="s">
        <v>24</v>
      </c>
      <c r="Q27" s="333" t="s">
        <v>24</v>
      </c>
      <c r="R27" s="333" t="s">
        <v>24</v>
      </c>
      <c r="S27" s="333" t="s">
        <v>320</v>
      </c>
      <c r="T27" s="333" t="s">
        <v>24</v>
      </c>
      <c r="U27" s="333" t="s">
        <v>24</v>
      </c>
      <c r="V27" s="333" t="s">
        <v>24</v>
      </c>
      <c r="W27" s="333" t="s">
        <v>24</v>
      </c>
      <c r="X27" s="333" t="s">
        <v>24</v>
      </c>
      <c r="Y27" s="330" t="s">
        <v>24</v>
      </c>
      <c r="Z27" s="333" t="s">
        <v>24</v>
      </c>
      <c r="AA27" s="182">
        <v>0</v>
      </c>
      <c r="AB27" s="211">
        <v>0</v>
      </c>
      <c r="AC27" s="211">
        <v>0</v>
      </c>
      <c r="AD27" s="211">
        <v>0</v>
      </c>
      <c r="AE27" s="211">
        <v>0</v>
      </c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47"/>
      <c r="AQ27" s="53">
        <f t="shared" si="9"/>
        <v>0</v>
      </c>
      <c r="AR27" s="51"/>
      <c r="AS27" s="359">
        <f t="shared" si="10"/>
        <v>0</v>
      </c>
      <c r="AU27" s="55"/>
    </row>
    <row r="28" spans="1:47" s="36" customFormat="1" ht="15.75" x14ac:dyDescent="0.25">
      <c r="A28" s="113" t="s">
        <v>107</v>
      </c>
      <c r="B28" s="114" t="s">
        <v>108</v>
      </c>
      <c r="C28" s="422" t="s">
        <v>813</v>
      </c>
      <c r="D28" s="422" t="s">
        <v>874</v>
      </c>
      <c r="E28" s="52" t="s">
        <v>873</v>
      </c>
      <c r="F28" s="423" t="s">
        <v>890</v>
      </c>
      <c r="G28" s="113" t="s">
        <v>109</v>
      </c>
      <c r="H28" s="52" t="s">
        <v>46</v>
      </c>
      <c r="I28" s="329">
        <v>44454</v>
      </c>
      <c r="J28" s="422"/>
      <c r="K28" s="330" t="s">
        <v>370</v>
      </c>
      <c r="L28" s="52">
        <v>44417</v>
      </c>
      <c r="M28" s="330">
        <v>44417</v>
      </c>
      <c r="N28" s="299">
        <v>44418</v>
      </c>
      <c r="O28" s="330">
        <v>44418</v>
      </c>
      <c r="P28" s="333" t="e">
        <f t="shared" si="6"/>
        <v>#VALUE!</v>
      </c>
      <c r="Q28" s="344">
        <f t="shared" ref="Q28:R35" si="11">N28-L28</f>
        <v>1</v>
      </c>
      <c r="R28" s="333">
        <f t="shared" si="11"/>
        <v>1</v>
      </c>
      <c r="S28" s="52" t="s">
        <v>370</v>
      </c>
      <c r="T28" s="329">
        <v>44470</v>
      </c>
      <c r="U28" s="87">
        <v>44628</v>
      </c>
      <c r="V28" s="50">
        <v>4</v>
      </c>
      <c r="W28" s="50">
        <f>((U28-T28)/7)/4.3</f>
        <v>5.249169435215947</v>
      </c>
      <c r="X28" s="50"/>
      <c r="Y28" s="52"/>
      <c r="Z28" s="50" t="s">
        <v>370</v>
      </c>
      <c r="AA28" s="182">
        <v>295011.28999999998</v>
      </c>
      <c r="AB28" s="211">
        <v>264663.84999999998</v>
      </c>
      <c r="AC28" s="211">
        <v>0</v>
      </c>
      <c r="AD28" s="211">
        <v>0</v>
      </c>
      <c r="AE28" s="211">
        <v>36793.4</v>
      </c>
      <c r="AF28" s="58"/>
      <c r="AG28" s="58"/>
      <c r="AH28" s="58"/>
      <c r="AI28" s="58"/>
      <c r="AJ28" s="58"/>
      <c r="AK28" s="58"/>
      <c r="AL28" s="58"/>
      <c r="AM28" s="58"/>
      <c r="AN28" s="58"/>
      <c r="AO28" s="53"/>
      <c r="AP28" s="47"/>
      <c r="AQ28" s="53">
        <f t="shared" si="9"/>
        <v>301457.25</v>
      </c>
      <c r="AR28" s="51"/>
      <c r="AS28" s="359">
        <f t="shared" si="10"/>
        <v>6445.960000000021</v>
      </c>
      <c r="AU28" s="55"/>
    </row>
    <row r="29" spans="1:47" s="36" customFormat="1" ht="15.75" x14ac:dyDescent="0.25">
      <c r="A29" s="386" t="s">
        <v>719</v>
      </c>
      <c r="B29" s="393" t="s">
        <v>661</v>
      </c>
      <c r="C29" s="423" t="s">
        <v>826</v>
      </c>
      <c r="D29" s="422" t="s">
        <v>874</v>
      </c>
      <c r="E29" s="52" t="s">
        <v>402</v>
      </c>
      <c r="F29" s="423" t="s">
        <v>893</v>
      </c>
      <c r="G29" s="61"/>
      <c r="H29" s="52" t="s">
        <v>46</v>
      </c>
      <c r="I29" s="330">
        <v>44644</v>
      </c>
      <c r="J29" s="423"/>
      <c r="K29" s="329">
        <v>44544</v>
      </c>
      <c r="L29" s="87">
        <v>44589</v>
      </c>
      <c r="M29" s="329">
        <v>44532</v>
      </c>
      <c r="N29" s="52">
        <v>44619</v>
      </c>
      <c r="O29" s="329">
        <v>44651</v>
      </c>
      <c r="P29" s="88">
        <f t="shared" si="6"/>
        <v>107</v>
      </c>
      <c r="Q29" s="50">
        <f t="shared" si="11"/>
        <v>30</v>
      </c>
      <c r="R29" s="346">
        <f t="shared" si="11"/>
        <v>119</v>
      </c>
      <c r="S29" s="52" t="s">
        <v>370</v>
      </c>
      <c r="T29" s="377">
        <f>O29</f>
        <v>44651</v>
      </c>
      <c r="U29" s="347">
        <v>44804</v>
      </c>
      <c r="V29" s="50">
        <v>6.3455149501661126</v>
      </c>
      <c r="W29" s="50">
        <f>((U29-T29)/7)/4.3</f>
        <v>5.0830564784053163</v>
      </c>
      <c r="X29" s="50"/>
      <c r="Y29" s="52"/>
      <c r="Z29" s="50" t="s">
        <v>370</v>
      </c>
      <c r="AA29" s="182">
        <v>2860072</v>
      </c>
      <c r="AB29" s="211">
        <v>0</v>
      </c>
      <c r="AC29" s="211">
        <v>0</v>
      </c>
      <c r="AD29" s="211">
        <v>125981</v>
      </c>
      <c r="AE29" s="211">
        <v>53207.75</v>
      </c>
      <c r="AF29" s="275">
        <v>250000</v>
      </c>
      <c r="AG29" s="275">
        <v>250000</v>
      </c>
      <c r="AH29" s="275">
        <v>300000</v>
      </c>
      <c r="AI29" s="275">
        <v>300000</v>
      </c>
      <c r="AJ29" s="275">
        <v>300000</v>
      </c>
      <c r="AK29" s="275">
        <v>300000</v>
      </c>
      <c r="AL29" s="275">
        <v>300000</v>
      </c>
      <c r="AM29" s="275">
        <v>300000</v>
      </c>
      <c r="AN29" s="275">
        <v>184091</v>
      </c>
      <c r="AO29" s="58"/>
      <c r="AP29" s="47"/>
      <c r="AQ29" s="53">
        <f>SUM(AB29:AP29)</f>
        <v>2663279.75</v>
      </c>
      <c r="AR29" s="51"/>
      <c r="AS29" s="359">
        <f t="shared" si="10"/>
        <v>-196792.25</v>
      </c>
    </row>
    <row r="30" spans="1:47" s="36" customFormat="1" ht="15.75" x14ac:dyDescent="0.25">
      <c r="A30" s="374" t="s">
        <v>845</v>
      </c>
      <c r="B30" s="375" t="s">
        <v>776</v>
      </c>
      <c r="C30" s="87" t="s">
        <v>832</v>
      </c>
      <c r="D30" s="422" t="s">
        <v>874</v>
      </c>
      <c r="E30" s="52" t="s">
        <v>873</v>
      </c>
      <c r="F30" s="52" t="s">
        <v>890</v>
      </c>
      <c r="G30" s="56" t="s">
        <v>862</v>
      </c>
      <c r="H30" s="52" t="s">
        <v>623</v>
      </c>
      <c r="I30" s="299">
        <v>44666</v>
      </c>
      <c r="J30" s="87"/>
      <c r="K30" s="87">
        <v>44659</v>
      </c>
      <c r="L30" s="87">
        <v>44591</v>
      </c>
      <c r="M30" s="329">
        <v>44576</v>
      </c>
      <c r="N30" s="87">
        <v>44621</v>
      </c>
      <c r="O30" s="329">
        <v>44655</v>
      </c>
      <c r="P30" s="346">
        <f t="shared" si="6"/>
        <v>-4</v>
      </c>
      <c r="Q30" s="50">
        <f t="shared" si="11"/>
        <v>30</v>
      </c>
      <c r="R30" s="50">
        <f t="shared" si="11"/>
        <v>79</v>
      </c>
      <c r="S30" s="52" t="s">
        <v>320</v>
      </c>
      <c r="T30" s="376">
        <v>44681</v>
      </c>
      <c r="U30" s="52">
        <f>T30+(9*4.3*7)</f>
        <v>44951.9</v>
      </c>
      <c r="V30" s="50">
        <v>9.0000000000000497</v>
      </c>
      <c r="W30" s="50">
        <f>((U30-T30)/7)/4.3</f>
        <v>9.0000000000000497</v>
      </c>
      <c r="X30" s="50"/>
      <c r="Y30" s="52"/>
      <c r="Z30" s="50"/>
      <c r="AA30" s="53">
        <v>2000000</v>
      </c>
      <c r="AB30" s="211">
        <v>0</v>
      </c>
      <c r="AC30" s="211">
        <v>0</v>
      </c>
      <c r="AD30" s="211">
        <v>0</v>
      </c>
      <c r="AE30" s="211">
        <v>0</v>
      </c>
      <c r="AF30" s="275">
        <v>100000</v>
      </c>
      <c r="AG30" s="275">
        <v>150000</v>
      </c>
      <c r="AH30" s="275">
        <v>200000</v>
      </c>
      <c r="AI30" s="275">
        <v>200000</v>
      </c>
      <c r="AJ30" s="275">
        <v>200000</v>
      </c>
      <c r="AK30" s="275">
        <v>250000</v>
      </c>
      <c r="AL30" s="275">
        <v>250000</v>
      </c>
      <c r="AM30" s="275">
        <v>250000</v>
      </c>
      <c r="AN30" s="275">
        <v>200000</v>
      </c>
      <c r="AO30" s="275">
        <v>200000</v>
      </c>
      <c r="AP30" s="47"/>
      <c r="AQ30" s="53">
        <f>SUM(AB30:AP30)</f>
        <v>2000000</v>
      </c>
      <c r="AR30" s="51"/>
      <c r="AS30" s="359">
        <f t="shared" si="10"/>
        <v>0</v>
      </c>
    </row>
    <row r="31" spans="1:47" s="36" customFormat="1" ht="15.75" x14ac:dyDescent="0.25">
      <c r="A31" s="461" t="s">
        <v>851</v>
      </c>
      <c r="B31" s="410" t="s">
        <v>920</v>
      </c>
      <c r="C31" s="87" t="s">
        <v>832</v>
      </c>
      <c r="D31" s="422" t="s">
        <v>874</v>
      </c>
      <c r="E31" s="52" t="s">
        <v>873</v>
      </c>
      <c r="F31" s="52" t="s">
        <v>890</v>
      </c>
      <c r="G31" s="56" t="s">
        <v>862</v>
      </c>
      <c r="H31" s="52" t="s">
        <v>623</v>
      </c>
      <c r="I31" s="52" t="s">
        <v>320</v>
      </c>
      <c r="J31" s="87"/>
      <c r="K31" s="52">
        <v>44726</v>
      </c>
      <c r="L31" s="52">
        <v>44726</v>
      </c>
      <c r="M31" s="52">
        <v>44726</v>
      </c>
      <c r="N31" s="87">
        <f>L31+45</f>
        <v>44771</v>
      </c>
      <c r="O31" s="87">
        <f>M31+45</f>
        <v>44771</v>
      </c>
      <c r="P31" s="88">
        <f t="shared" si="6"/>
        <v>45</v>
      </c>
      <c r="Q31" s="50">
        <f t="shared" si="11"/>
        <v>45</v>
      </c>
      <c r="R31" s="50">
        <f t="shared" si="11"/>
        <v>45</v>
      </c>
      <c r="S31" s="52" t="s">
        <v>320</v>
      </c>
      <c r="T31" s="376">
        <f t="shared" ref="T31:T35" si="12">O31+20</f>
        <v>44791</v>
      </c>
      <c r="U31" s="52">
        <f>T31+(4*4.3*7)</f>
        <v>44911.4</v>
      </c>
      <c r="V31" s="50">
        <v>4</v>
      </c>
      <c r="W31" s="50">
        <f t="shared" ref="W31:W35" si="13">((U31-T31)/7)/4.3</f>
        <v>4.0000000000000488</v>
      </c>
      <c r="X31" s="50"/>
      <c r="Y31" s="52"/>
      <c r="Z31" s="50"/>
      <c r="AA31" s="53"/>
      <c r="AB31" s="211">
        <v>0</v>
      </c>
      <c r="AC31" s="211">
        <v>0</v>
      </c>
      <c r="AD31" s="211">
        <v>0</v>
      </c>
      <c r="AE31" s="211">
        <v>0</v>
      </c>
      <c r="AF31" s="58"/>
      <c r="AG31" s="58"/>
      <c r="AH31" s="58"/>
      <c r="AI31" s="58"/>
      <c r="AJ31" s="58"/>
      <c r="AK31" s="58"/>
      <c r="AL31" s="58"/>
      <c r="AM31" s="58"/>
      <c r="AN31" s="58"/>
      <c r="AO31" s="53"/>
      <c r="AP31" s="47"/>
      <c r="AQ31" s="53">
        <f>SUM(AB31:AP31)</f>
        <v>0</v>
      </c>
      <c r="AR31" s="51"/>
      <c r="AS31" s="359">
        <f t="shared" si="10"/>
        <v>0</v>
      </c>
    </row>
    <row r="32" spans="1:47" s="36" customFormat="1" ht="15.75" x14ac:dyDescent="0.25">
      <c r="A32" s="374" t="s">
        <v>852</v>
      </c>
      <c r="B32" s="410" t="s">
        <v>921</v>
      </c>
      <c r="C32" s="87" t="s">
        <v>832</v>
      </c>
      <c r="D32" s="422" t="s">
        <v>874</v>
      </c>
      <c r="E32" s="52" t="s">
        <v>873</v>
      </c>
      <c r="F32" s="52" t="s">
        <v>890</v>
      </c>
      <c r="G32" s="56" t="s">
        <v>862</v>
      </c>
      <c r="H32" s="52" t="s">
        <v>623</v>
      </c>
      <c r="I32" s="52" t="s">
        <v>320</v>
      </c>
      <c r="J32" s="87"/>
      <c r="K32" s="52">
        <v>44726</v>
      </c>
      <c r="L32" s="52">
        <v>44726</v>
      </c>
      <c r="M32" s="52">
        <v>44726</v>
      </c>
      <c r="N32" s="87">
        <f t="shared" ref="N32:N35" si="14">L32+45</f>
        <v>44771</v>
      </c>
      <c r="O32" s="87">
        <f>M32+45</f>
        <v>44771</v>
      </c>
      <c r="P32" s="88">
        <f t="shared" si="6"/>
        <v>45</v>
      </c>
      <c r="Q32" s="50">
        <f t="shared" si="11"/>
        <v>45</v>
      </c>
      <c r="R32" s="50">
        <f t="shared" si="11"/>
        <v>45</v>
      </c>
      <c r="S32" s="52" t="s">
        <v>320</v>
      </c>
      <c r="T32" s="376">
        <f t="shared" si="12"/>
        <v>44791</v>
      </c>
      <c r="U32" s="52">
        <f>T32+(4*4.3*7)</f>
        <v>44911.4</v>
      </c>
      <c r="V32" s="50">
        <v>4</v>
      </c>
      <c r="W32" s="50">
        <f t="shared" si="13"/>
        <v>4.0000000000000488</v>
      </c>
      <c r="X32" s="50"/>
      <c r="Y32" s="52"/>
      <c r="Z32" s="50"/>
      <c r="AA32" s="53"/>
      <c r="AB32" s="211">
        <v>0</v>
      </c>
      <c r="AC32" s="211">
        <v>0</v>
      </c>
      <c r="AD32" s="211">
        <v>0</v>
      </c>
      <c r="AE32" s="211">
        <v>0</v>
      </c>
      <c r="AF32" s="58"/>
      <c r="AG32" s="58"/>
      <c r="AH32" s="58"/>
      <c r="AI32" s="58"/>
      <c r="AJ32" s="58"/>
      <c r="AK32" s="58"/>
      <c r="AL32" s="58"/>
      <c r="AM32" s="58"/>
      <c r="AN32" s="58"/>
      <c r="AO32" s="53"/>
      <c r="AP32" s="47"/>
      <c r="AQ32" s="53">
        <f>SUM(AB32:AP32)</f>
        <v>0</v>
      </c>
      <c r="AR32" s="51"/>
      <c r="AS32" s="359">
        <f t="shared" si="10"/>
        <v>0</v>
      </c>
    </row>
    <row r="33" spans="1:47" s="36" customFormat="1" ht="15.75" x14ac:dyDescent="0.25">
      <c r="A33" s="461" t="s">
        <v>853</v>
      </c>
      <c r="B33" s="410" t="s">
        <v>922</v>
      </c>
      <c r="C33" s="435" t="s">
        <v>832</v>
      </c>
      <c r="D33" s="422" t="s">
        <v>874</v>
      </c>
      <c r="E33" s="52" t="s">
        <v>873</v>
      </c>
      <c r="F33" s="52" t="s">
        <v>890</v>
      </c>
      <c r="G33" s="389" t="s">
        <v>862</v>
      </c>
      <c r="H33" s="52" t="s">
        <v>623</v>
      </c>
      <c r="I33" s="52" t="s">
        <v>320</v>
      </c>
      <c r="J33" s="435"/>
      <c r="K33" s="52">
        <v>44726</v>
      </c>
      <c r="L33" s="52">
        <v>44726</v>
      </c>
      <c r="M33" s="52">
        <v>44726</v>
      </c>
      <c r="N33" s="87">
        <f t="shared" si="14"/>
        <v>44771</v>
      </c>
      <c r="O33" s="87">
        <f>M33+45</f>
        <v>44771</v>
      </c>
      <c r="P33" s="88">
        <f t="shared" si="6"/>
        <v>45</v>
      </c>
      <c r="Q33" s="50">
        <f t="shared" si="11"/>
        <v>45</v>
      </c>
      <c r="R33" s="50">
        <f t="shared" si="11"/>
        <v>45</v>
      </c>
      <c r="S33" s="52" t="s">
        <v>320</v>
      </c>
      <c r="T33" s="376">
        <f t="shared" si="12"/>
        <v>44791</v>
      </c>
      <c r="U33" s="52">
        <f>T33+(4*4.3*7)</f>
        <v>44911.4</v>
      </c>
      <c r="V33" s="50">
        <v>4</v>
      </c>
      <c r="W33" s="50">
        <f t="shared" si="13"/>
        <v>4.0000000000000488</v>
      </c>
      <c r="X33" s="50"/>
      <c r="Y33" s="52"/>
      <c r="Z33" s="50"/>
      <c r="AA33" s="53"/>
      <c r="AB33" s="211">
        <v>0</v>
      </c>
      <c r="AC33" s="211">
        <v>0</v>
      </c>
      <c r="AD33" s="211">
        <v>0</v>
      </c>
      <c r="AE33" s="211">
        <v>0</v>
      </c>
      <c r="AF33" s="58"/>
      <c r="AG33" s="58"/>
      <c r="AH33" s="58"/>
      <c r="AI33" s="58"/>
      <c r="AJ33" s="58"/>
      <c r="AK33" s="58"/>
      <c r="AL33" s="58"/>
      <c r="AM33" s="58"/>
      <c r="AN33" s="58"/>
      <c r="AO33" s="53"/>
      <c r="AP33" s="47"/>
      <c r="AQ33" s="53">
        <f t="shared" ref="AQ33:AQ35" si="15">SUM(AB33:AP33)</f>
        <v>0</v>
      </c>
      <c r="AR33" s="51"/>
      <c r="AS33" s="359">
        <f t="shared" si="10"/>
        <v>0</v>
      </c>
    </row>
    <row r="34" spans="1:47" s="36" customFormat="1" ht="15.75" x14ac:dyDescent="0.25">
      <c r="A34" s="374" t="s">
        <v>854</v>
      </c>
      <c r="B34" s="410" t="s">
        <v>923</v>
      </c>
      <c r="C34" s="432" t="s">
        <v>832</v>
      </c>
      <c r="D34" s="422" t="s">
        <v>874</v>
      </c>
      <c r="E34" s="52" t="s">
        <v>873</v>
      </c>
      <c r="F34" s="52" t="s">
        <v>890</v>
      </c>
      <c r="G34" s="57" t="s">
        <v>862</v>
      </c>
      <c r="H34" s="52" t="s">
        <v>623</v>
      </c>
      <c r="I34" s="52" t="s">
        <v>320</v>
      </c>
      <c r="J34" s="432"/>
      <c r="K34" s="52">
        <v>44726</v>
      </c>
      <c r="L34" s="52">
        <v>44726</v>
      </c>
      <c r="M34" s="52">
        <v>44726</v>
      </c>
      <c r="N34" s="87">
        <f t="shared" si="14"/>
        <v>44771</v>
      </c>
      <c r="O34" s="87">
        <f>M34+45</f>
        <v>44771</v>
      </c>
      <c r="P34" s="88">
        <f t="shared" si="6"/>
        <v>45</v>
      </c>
      <c r="Q34" s="50">
        <f t="shared" si="11"/>
        <v>45</v>
      </c>
      <c r="R34" s="50">
        <f t="shared" si="11"/>
        <v>45</v>
      </c>
      <c r="S34" s="52" t="s">
        <v>320</v>
      </c>
      <c r="T34" s="376">
        <f t="shared" si="12"/>
        <v>44791</v>
      </c>
      <c r="U34" s="52">
        <f>T34+(4*4.3*7)</f>
        <v>44911.4</v>
      </c>
      <c r="V34" s="50">
        <v>4</v>
      </c>
      <c r="W34" s="50">
        <f t="shared" si="13"/>
        <v>4.0000000000000488</v>
      </c>
      <c r="X34" s="50"/>
      <c r="Y34" s="52"/>
      <c r="Z34" s="50"/>
      <c r="AA34" s="53"/>
      <c r="AB34" s="211">
        <v>0</v>
      </c>
      <c r="AC34" s="211">
        <v>0</v>
      </c>
      <c r="AD34" s="211">
        <v>0</v>
      </c>
      <c r="AE34" s="211">
        <v>0</v>
      </c>
      <c r="AF34" s="58"/>
      <c r="AG34" s="58"/>
      <c r="AH34" s="58"/>
      <c r="AI34" s="58"/>
      <c r="AJ34" s="58"/>
      <c r="AK34" s="58"/>
      <c r="AL34" s="58"/>
      <c r="AM34" s="58"/>
      <c r="AN34" s="58"/>
      <c r="AO34" s="53"/>
      <c r="AP34" s="47"/>
      <c r="AQ34" s="53">
        <f t="shared" si="15"/>
        <v>0</v>
      </c>
      <c r="AR34" s="51"/>
      <c r="AS34" s="359">
        <f t="shared" si="10"/>
        <v>0</v>
      </c>
    </row>
    <row r="35" spans="1:47" s="36" customFormat="1" ht="15.75" x14ac:dyDescent="0.25">
      <c r="A35" s="374" t="s">
        <v>855</v>
      </c>
      <c r="B35" s="410" t="s">
        <v>924</v>
      </c>
      <c r="C35" s="432" t="s">
        <v>832</v>
      </c>
      <c r="D35" s="422" t="s">
        <v>874</v>
      </c>
      <c r="E35" s="52" t="s">
        <v>873</v>
      </c>
      <c r="F35" s="52" t="s">
        <v>890</v>
      </c>
      <c r="G35" s="57" t="s">
        <v>862</v>
      </c>
      <c r="H35" s="52" t="s">
        <v>623</v>
      </c>
      <c r="I35" s="52" t="s">
        <v>320</v>
      </c>
      <c r="J35" s="432"/>
      <c r="K35" s="52">
        <v>44726</v>
      </c>
      <c r="L35" s="52">
        <v>44726</v>
      </c>
      <c r="M35" s="52">
        <v>44726</v>
      </c>
      <c r="N35" s="87">
        <f t="shared" si="14"/>
        <v>44771</v>
      </c>
      <c r="O35" s="87">
        <f>M35+45</f>
        <v>44771</v>
      </c>
      <c r="P35" s="88">
        <f t="shared" si="6"/>
        <v>45</v>
      </c>
      <c r="Q35" s="50">
        <f t="shared" si="11"/>
        <v>45</v>
      </c>
      <c r="R35" s="50">
        <f t="shared" si="11"/>
        <v>45</v>
      </c>
      <c r="S35" s="52" t="s">
        <v>320</v>
      </c>
      <c r="T35" s="376">
        <f t="shared" si="12"/>
        <v>44791</v>
      </c>
      <c r="U35" s="52">
        <f>T35+(4*4.3*7)</f>
        <v>44911.4</v>
      </c>
      <c r="V35" s="50">
        <v>4</v>
      </c>
      <c r="W35" s="50">
        <f t="shared" si="13"/>
        <v>4.0000000000000488</v>
      </c>
      <c r="X35" s="50"/>
      <c r="Y35" s="52"/>
      <c r="Z35" s="50"/>
      <c r="AA35" s="53"/>
      <c r="AB35" s="211">
        <v>0</v>
      </c>
      <c r="AC35" s="211">
        <v>0</v>
      </c>
      <c r="AD35" s="211">
        <v>0</v>
      </c>
      <c r="AE35" s="211">
        <v>0</v>
      </c>
      <c r="AF35" s="58"/>
      <c r="AG35" s="58"/>
      <c r="AH35" s="58"/>
      <c r="AI35" s="58"/>
      <c r="AJ35" s="58"/>
      <c r="AK35" s="58"/>
      <c r="AL35" s="58"/>
      <c r="AM35" s="58"/>
      <c r="AN35" s="58"/>
      <c r="AO35" s="53"/>
      <c r="AP35" s="47"/>
      <c r="AQ35" s="53">
        <f t="shared" si="15"/>
        <v>0</v>
      </c>
      <c r="AR35" s="51"/>
      <c r="AS35" s="359">
        <f t="shared" si="10"/>
        <v>0</v>
      </c>
    </row>
    <row r="36" spans="1:47" s="36" customFormat="1" ht="15.75" x14ac:dyDescent="0.25">
      <c r="A36" s="99"/>
      <c r="B36" s="100"/>
      <c r="C36" s="429"/>
      <c r="D36" s="429"/>
      <c r="E36" s="445"/>
      <c r="F36" s="446"/>
      <c r="G36" s="100"/>
      <c r="H36" s="91"/>
      <c r="I36" s="91"/>
      <c r="J36" s="429"/>
      <c r="K36" s="91"/>
      <c r="L36" s="91"/>
      <c r="M36" s="91"/>
      <c r="N36" s="91"/>
      <c r="O36" s="91"/>
      <c r="P36" s="92"/>
      <c r="Q36" s="91"/>
      <c r="R36" s="92"/>
      <c r="S36" s="91"/>
      <c r="T36" s="91"/>
      <c r="U36" s="91"/>
      <c r="V36" s="92"/>
      <c r="W36" s="92"/>
      <c r="X36" s="92"/>
      <c r="Y36" s="91"/>
      <c r="Z36" s="92"/>
      <c r="AA36" s="59">
        <f>SUBTOTAL(9,AA24:AA35)</f>
        <v>20157605.850000001</v>
      </c>
      <c r="AB36" s="243">
        <f>SUBTOTAL(9,AB24:AB35)</f>
        <v>13736161.409999996</v>
      </c>
      <c r="AC36" s="243">
        <f t="shared" ref="AC36:AO36" si="16">SUBTOTAL(9,AC24:AC35)</f>
        <v>812671.7</v>
      </c>
      <c r="AD36" s="243">
        <f t="shared" si="16"/>
        <v>125981</v>
      </c>
      <c r="AE36" s="59">
        <f t="shared" si="16"/>
        <v>252272.3</v>
      </c>
      <c r="AF36" s="59">
        <f t="shared" si="16"/>
        <v>350000</v>
      </c>
      <c r="AG36" s="59">
        <f t="shared" si="16"/>
        <v>400000</v>
      </c>
      <c r="AH36" s="59">
        <f t="shared" si="16"/>
        <v>500000</v>
      </c>
      <c r="AI36" s="59">
        <f t="shared" si="16"/>
        <v>500000</v>
      </c>
      <c r="AJ36" s="59">
        <f t="shared" si="16"/>
        <v>500000</v>
      </c>
      <c r="AK36" s="59">
        <f t="shared" si="16"/>
        <v>550000</v>
      </c>
      <c r="AL36" s="59">
        <f t="shared" si="16"/>
        <v>550000</v>
      </c>
      <c r="AM36" s="59">
        <f t="shared" si="16"/>
        <v>550000</v>
      </c>
      <c r="AN36" s="59">
        <f t="shared" si="16"/>
        <v>1109091</v>
      </c>
      <c r="AO36" s="59">
        <f t="shared" si="16"/>
        <v>200000</v>
      </c>
      <c r="AP36" s="47"/>
      <c r="AQ36" s="59">
        <f>SUBTOTAL(9,AQ24:AQ35)</f>
        <v>20136177.409999996</v>
      </c>
      <c r="AR36" s="51"/>
      <c r="AS36" s="359">
        <f t="shared" si="10"/>
        <v>-21428.440000005066</v>
      </c>
      <c r="AU36" s="55"/>
    </row>
    <row r="37" spans="1:47" s="36" customFormat="1" ht="15.75" x14ac:dyDescent="0.25">
      <c r="A37" s="382" t="s">
        <v>569</v>
      </c>
      <c r="B37" s="387"/>
      <c r="C37" s="102"/>
      <c r="D37" s="102"/>
      <c r="E37" s="102"/>
      <c r="F37" s="102"/>
      <c r="G37" s="381"/>
      <c r="H37" s="102"/>
      <c r="I37" s="102"/>
      <c r="J37" s="102"/>
      <c r="K37" s="102"/>
      <c r="L37" s="102"/>
      <c r="M37" s="276"/>
      <c r="N37" s="276"/>
      <c r="O37" s="276"/>
      <c r="P37" s="84"/>
      <c r="Q37" s="276"/>
      <c r="R37" s="84"/>
      <c r="S37" s="102"/>
      <c r="T37" s="102"/>
      <c r="U37" s="102"/>
      <c r="V37" s="84"/>
      <c r="W37" s="102"/>
      <c r="X37" s="102"/>
      <c r="Y37" s="276"/>
      <c r="Z37" s="102"/>
      <c r="AA37" s="102"/>
      <c r="AB37" s="495"/>
      <c r="AC37" s="495"/>
      <c r="AD37" s="495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47"/>
      <c r="AQ37" s="103"/>
      <c r="AR37" s="51"/>
      <c r="AS37" s="359">
        <f t="shared" si="10"/>
        <v>0</v>
      </c>
    </row>
    <row r="38" spans="1:47" s="36" customFormat="1" ht="15.75" x14ac:dyDescent="0.25">
      <c r="A38" s="366" t="s">
        <v>134</v>
      </c>
      <c r="B38" s="367" t="s">
        <v>135</v>
      </c>
      <c r="C38" s="321" t="s">
        <v>809</v>
      </c>
      <c r="D38" s="321" t="s">
        <v>887</v>
      </c>
      <c r="E38" s="321" t="s">
        <v>566</v>
      </c>
      <c r="F38" s="321" t="s">
        <v>24</v>
      </c>
      <c r="G38" s="366" t="s">
        <v>136</v>
      </c>
      <c r="H38" s="321" t="s">
        <v>46</v>
      </c>
      <c r="I38" s="332">
        <v>44000</v>
      </c>
      <c r="J38" s="321"/>
      <c r="K38" s="332" t="s">
        <v>24</v>
      </c>
      <c r="L38" s="321">
        <v>44174</v>
      </c>
      <c r="M38" s="332">
        <v>44174</v>
      </c>
      <c r="N38" s="339">
        <v>44223</v>
      </c>
      <c r="O38" s="332">
        <v>44223</v>
      </c>
      <c r="P38" s="332" t="s">
        <v>24</v>
      </c>
      <c r="Q38" s="371">
        <f>N38-L38</f>
        <v>49</v>
      </c>
      <c r="R38" s="343">
        <f>O38-M38</f>
        <v>49</v>
      </c>
      <c r="S38" s="321" t="s">
        <v>370</v>
      </c>
      <c r="T38" s="332">
        <v>44382</v>
      </c>
      <c r="U38" s="321">
        <v>44540</v>
      </c>
      <c r="V38" s="322">
        <v>5</v>
      </c>
      <c r="W38" s="322">
        <f>((U38-T38)/7)/4.3</f>
        <v>5.249169435215947</v>
      </c>
      <c r="X38" s="322"/>
      <c r="Y38" s="321"/>
      <c r="Z38" s="322" t="s">
        <v>370</v>
      </c>
      <c r="AA38" s="323">
        <v>1006578.9</v>
      </c>
      <c r="AB38" s="211">
        <v>1006578.9</v>
      </c>
      <c r="AC38" s="211">
        <v>0</v>
      </c>
      <c r="AD38" s="211">
        <v>413409.04</v>
      </c>
      <c r="AE38" s="211">
        <v>0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47"/>
      <c r="AQ38" s="53">
        <f>SUM(AB38:AP38)</f>
        <v>1419987.94</v>
      </c>
      <c r="AR38" s="51"/>
      <c r="AS38" s="359">
        <f t="shared" si="10"/>
        <v>413409.03999999992</v>
      </c>
    </row>
    <row r="39" spans="1:47" s="36" customFormat="1" ht="15.75" x14ac:dyDescent="0.25">
      <c r="A39" s="319" t="s">
        <v>226</v>
      </c>
      <c r="B39" s="319" t="s">
        <v>442</v>
      </c>
      <c r="C39" s="321" t="s">
        <v>809</v>
      </c>
      <c r="D39" s="321" t="s">
        <v>887</v>
      </c>
      <c r="E39" s="402" t="s">
        <v>565</v>
      </c>
      <c r="F39" s="472" t="s">
        <v>24</v>
      </c>
      <c r="G39" s="320" t="s">
        <v>656</v>
      </c>
      <c r="H39" s="321" t="s">
        <v>46</v>
      </c>
      <c r="I39" s="332">
        <v>44336</v>
      </c>
      <c r="J39" s="428"/>
      <c r="K39" s="332" t="s">
        <v>24</v>
      </c>
      <c r="L39" s="321">
        <v>44295</v>
      </c>
      <c r="M39" s="332">
        <v>44295</v>
      </c>
      <c r="N39" s="339">
        <v>44357</v>
      </c>
      <c r="O39" s="332">
        <v>44357</v>
      </c>
      <c r="P39" s="332" t="s">
        <v>24</v>
      </c>
      <c r="Q39" s="371">
        <f>N39-L39</f>
        <v>62</v>
      </c>
      <c r="R39" s="343">
        <f>O39-M39</f>
        <v>62</v>
      </c>
      <c r="S39" s="321" t="s">
        <v>370</v>
      </c>
      <c r="T39" s="332">
        <v>44387</v>
      </c>
      <c r="U39" s="321">
        <v>44540</v>
      </c>
      <c r="V39" s="322">
        <v>5</v>
      </c>
      <c r="W39" s="322">
        <f>((U39-T39)/7)/4.3</f>
        <v>5.0830564784053163</v>
      </c>
      <c r="X39" s="322"/>
      <c r="Y39" s="321"/>
      <c r="Z39" s="322" t="s">
        <v>370</v>
      </c>
      <c r="AA39" s="323">
        <v>2315782.2000000002</v>
      </c>
      <c r="AB39" s="211">
        <v>2304152.1999999997</v>
      </c>
      <c r="AC39" s="211">
        <v>38625.5</v>
      </c>
      <c r="AD39" s="211">
        <v>0</v>
      </c>
      <c r="AE39" s="211">
        <v>0</v>
      </c>
      <c r="AF39" s="58"/>
      <c r="AG39" s="58"/>
      <c r="AH39" s="58"/>
      <c r="AI39" s="58"/>
      <c r="AJ39" s="58"/>
      <c r="AK39" s="58"/>
      <c r="AL39" s="58"/>
      <c r="AM39" s="58"/>
      <c r="AN39" s="58"/>
      <c r="AO39" s="53"/>
      <c r="AP39" s="47"/>
      <c r="AQ39" s="53">
        <f>SUM(AB39:AP39)</f>
        <v>2342777.6999999997</v>
      </c>
      <c r="AR39" s="51"/>
      <c r="AS39" s="359">
        <f t="shared" si="10"/>
        <v>26995.499999999534</v>
      </c>
    </row>
    <row r="40" spans="1:47" s="36" customFormat="1" ht="15.75" x14ac:dyDescent="0.25">
      <c r="A40" s="99"/>
      <c r="B40" s="99"/>
      <c r="C40" s="429"/>
      <c r="D40" s="429"/>
      <c r="E40" s="91"/>
      <c r="F40" s="91"/>
      <c r="G40" s="99"/>
      <c r="H40" s="91"/>
      <c r="I40" s="91"/>
      <c r="J40" s="429"/>
      <c r="K40" s="91"/>
      <c r="L40" s="91"/>
      <c r="M40" s="91"/>
      <c r="N40" s="91"/>
      <c r="O40" s="91"/>
      <c r="P40" s="92"/>
      <c r="Q40" s="91"/>
      <c r="R40" s="92"/>
      <c r="S40" s="91"/>
      <c r="T40" s="91"/>
      <c r="U40" s="91"/>
      <c r="V40" s="92"/>
      <c r="W40" s="91"/>
      <c r="X40" s="92"/>
      <c r="Y40" s="91"/>
      <c r="Z40" s="92"/>
      <c r="AA40" s="59">
        <f t="shared" ref="AA40:AO40" si="17">SUBTOTAL(9,AA38:AA39)</f>
        <v>3322361.1</v>
      </c>
      <c r="AB40" s="243">
        <f t="shared" si="17"/>
        <v>3310731.0999999996</v>
      </c>
      <c r="AC40" s="243">
        <f t="shared" si="17"/>
        <v>38625.5</v>
      </c>
      <c r="AD40" s="243">
        <f t="shared" si="17"/>
        <v>413409.04</v>
      </c>
      <c r="AE40" s="59">
        <f t="shared" si="17"/>
        <v>0</v>
      </c>
      <c r="AF40" s="59">
        <f t="shared" si="17"/>
        <v>0</v>
      </c>
      <c r="AG40" s="59">
        <f t="shared" si="17"/>
        <v>0</v>
      </c>
      <c r="AH40" s="59">
        <f t="shared" si="17"/>
        <v>0</v>
      </c>
      <c r="AI40" s="59">
        <f t="shared" si="17"/>
        <v>0</v>
      </c>
      <c r="AJ40" s="59">
        <f t="shared" si="17"/>
        <v>0</v>
      </c>
      <c r="AK40" s="59">
        <f t="shared" si="17"/>
        <v>0</v>
      </c>
      <c r="AL40" s="59">
        <f t="shared" si="17"/>
        <v>0</v>
      </c>
      <c r="AM40" s="59">
        <f t="shared" si="17"/>
        <v>0</v>
      </c>
      <c r="AN40" s="59">
        <f t="shared" si="17"/>
        <v>0</v>
      </c>
      <c r="AO40" s="59">
        <f t="shared" si="17"/>
        <v>0</v>
      </c>
      <c r="AP40" s="47"/>
      <c r="AQ40" s="59">
        <f>SUBTOTAL(9,AQ38:AQ39)</f>
        <v>3762765.6399999997</v>
      </c>
      <c r="AR40" s="51"/>
      <c r="AS40" s="359">
        <f t="shared" si="10"/>
        <v>440404.53999999957</v>
      </c>
    </row>
    <row r="41" spans="1:47" s="36" customFormat="1" ht="15.75" x14ac:dyDescent="0.25">
      <c r="A41" s="381" t="s">
        <v>761</v>
      </c>
      <c r="B41" s="381"/>
      <c r="C41" s="101"/>
      <c r="D41" s="101"/>
      <c r="E41" s="101"/>
      <c r="F41" s="101"/>
      <c r="G41" s="107"/>
      <c r="H41" s="102"/>
      <c r="I41" s="102"/>
      <c r="J41" s="101"/>
      <c r="K41" s="102"/>
      <c r="L41" s="102"/>
      <c r="M41" s="276"/>
      <c r="N41" s="276"/>
      <c r="O41" s="276"/>
      <c r="P41" s="84"/>
      <c r="Q41" s="276"/>
      <c r="R41" s="84"/>
      <c r="S41" s="102"/>
      <c r="T41" s="102"/>
      <c r="U41" s="102"/>
      <c r="V41" s="84"/>
      <c r="W41" s="102"/>
      <c r="X41" s="102"/>
      <c r="Y41" s="276"/>
      <c r="Z41" s="102"/>
      <c r="AA41" s="102"/>
      <c r="AB41" s="495"/>
      <c r="AC41" s="495"/>
      <c r="AD41" s="495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47"/>
      <c r="AQ41" s="103"/>
      <c r="AR41" s="51"/>
      <c r="AS41" s="359">
        <f t="shared" si="10"/>
        <v>0</v>
      </c>
      <c r="AU41" s="55"/>
    </row>
    <row r="42" spans="1:47" s="36" customFormat="1" ht="15.75" x14ac:dyDescent="0.25">
      <c r="A42" s="374" t="s">
        <v>203</v>
      </c>
      <c r="B42" s="374" t="s">
        <v>204</v>
      </c>
      <c r="C42" s="394" t="s">
        <v>815</v>
      </c>
      <c r="D42" s="394" t="s">
        <v>884</v>
      </c>
      <c r="E42" s="87" t="s">
        <v>885</v>
      </c>
      <c r="F42" s="434" t="s">
        <v>893</v>
      </c>
      <c r="G42" s="112" t="s">
        <v>684</v>
      </c>
      <c r="H42" s="87" t="s">
        <v>46</v>
      </c>
      <c r="I42" s="329">
        <v>44378</v>
      </c>
      <c r="J42" s="394"/>
      <c r="K42" s="330" t="s">
        <v>370</v>
      </c>
      <c r="L42" s="52">
        <v>44369</v>
      </c>
      <c r="M42" s="330">
        <v>44369</v>
      </c>
      <c r="N42" s="299">
        <v>44461</v>
      </c>
      <c r="O42" s="329">
        <v>44461</v>
      </c>
      <c r="P42" s="346" t="e">
        <f t="shared" ref="P42:P49" si="18">O42-K42</f>
        <v>#VALUE!</v>
      </c>
      <c r="Q42" s="344">
        <f t="shared" ref="Q42:R49" si="19">N42-L42</f>
        <v>92</v>
      </c>
      <c r="R42" s="333">
        <f t="shared" si="19"/>
        <v>92</v>
      </c>
      <c r="S42" s="52" t="s">
        <v>370</v>
      </c>
      <c r="T42" s="377">
        <v>44399</v>
      </c>
      <c r="U42" s="52">
        <v>44880</v>
      </c>
      <c r="V42" s="50">
        <v>13</v>
      </c>
      <c r="W42" s="50">
        <f t="shared" ref="W42:W49" si="20">((U42-T42)/7)/4.3</f>
        <v>15.980066445182723</v>
      </c>
      <c r="X42" s="50"/>
      <c r="Y42" s="52"/>
      <c r="Z42" s="50" t="s">
        <v>370</v>
      </c>
      <c r="AA42" s="182">
        <v>12193746.800000001</v>
      </c>
      <c r="AB42" s="211">
        <v>3069014.06</v>
      </c>
      <c r="AC42" s="211">
        <v>532188.35</v>
      </c>
      <c r="AD42" s="211">
        <v>1527507.98</v>
      </c>
      <c r="AE42" s="211">
        <v>798302.17</v>
      </c>
      <c r="AF42" s="275">
        <v>1000000</v>
      </c>
      <c r="AG42" s="275">
        <v>1000000</v>
      </c>
      <c r="AH42" s="275">
        <v>1000000</v>
      </c>
      <c r="AI42" s="275">
        <v>1000000</v>
      </c>
      <c r="AJ42" s="275">
        <v>1000000</v>
      </c>
      <c r="AK42" s="275">
        <v>750000</v>
      </c>
      <c r="AL42" s="275">
        <v>250000</v>
      </c>
      <c r="AM42" s="275">
        <v>65036.41</v>
      </c>
      <c r="AN42" s="58"/>
      <c r="AO42" s="53"/>
      <c r="AP42" s="47"/>
      <c r="AQ42" s="53">
        <f t="shared" ref="AQ42:AQ50" si="21">SUM(AB42:AP42)</f>
        <v>11992048.970000001</v>
      </c>
      <c r="AR42" s="51"/>
      <c r="AS42" s="359">
        <f t="shared" si="10"/>
        <v>-201697.83000000007</v>
      </c>
    </row>
    <row r="43" spans="1:47" s="36" customFormat="1" ht="15.75" x14ac:dyDescent="0.25">
      <c r="A43" s="386" t="s">
        <v>647</v>
      </c>
      <c r="B43" s="374" t="s">
        <v>604</v>
      </c>
      <c r="C43" s="423" t="s">
        <v>815</v>
      </c>
      <c r="D43" s="52" t="s">
        <v>884</v>
      </c>
      <c r="E43" s="52" t="s">
        <v>885</v>
      </c>
      <c r="F43" s="423" t="s">
        <v>893</v>
      </c>
      <c r="G43" s="112" t="s">
        <v>684</v>
      </c>
      <c r="H43" s="52" t="s">
        <v>623</v>
      </c>
      <c r="I43" s="52" t="s">
        <v>320</v>
      </c>
      <c r="J43" s="423"/>
      <c r="K43" s="329" t="s">
        <v>370</v>
      </c>
      <c r="L43" s="87">
        <v>44690</v>
      </c>
      <c r="M43" s="87">
        <v>44692</v>
      </c>
      <c r="N43" s="87">
        <f>L43+45</f>
        <v>44735</v>
      </c>
      <c r="O43" s="87">
        <f>M43+45</f>
        <v>44737</v>
      </c>
      <c r="P43" s="88" t="e">
        <f t="shared" si="18"/>
        <v>#VALUE!</v>
      </c>
      <c r="Q43" s="88">
        <f t="shared" si="19"/>
        <v>45</v>
      </c>
      <c r="R43" s="88">
        <f t="shared" si="19"/>
        <v>45</v>
      </c>
      <c r="S43" s="52" t="s">
        <v>320</v>
      </c>
      <c r="T43" s="376">
        <v>44743</v>
      </c>
      <c r="U43" s="87">
        <f>T43+(6*4.3*7)</f>
        <v>44923.6</v>
      </c>
      <c r="V43" s="88">
        <v>6</v>
      </c>
      <c r="W43" s="88">
        <f t="shared" si="20"/>
        <v>5.999999999999952</v>
      </c>
      <c r="X43" s="50"/>
      <c r="Y43" s="52"/>
      <c r="Z43" s="50"/>
      <c r="AA43" s="189">
        <v>980000</v>
      </c>
      <c r="AB43" s="211">
        <v>0</v>
      </c>
      <c r="AC43" s="211">
        <v>0</v>
      </c>
      <c r="AD43" s="211">
        <v>0</v>
      </c>
      <c r="AE43" s="211">
        <v>0</v>
      </c>
      <c r="AF43" s="275">
        <v>100000</v>
      </c>
      <c r="AG43" s="275">
        <v>125000</v>
      </c>
      <c r="AH43" s="275">
        <v>150000</v>
      </c>
      <c r="AI43" s="275">
        <v>200000</v>
      </c>
      <c r="AJ43" s="275">
        <v>200000</v>
      </c>
      <c r="AK43" s="275">
        <v>155000</v>
      </c>
      <c r="AL43" s="58"/>
      <c r="AM43" s="58"/>
      <c r="AN43" s="58"/>
      <c r="AO43" s="58"/>
      <c r="AP43" s="47"/>
      <c r="AQ43" s="53">
        <f t="shared" si="21"/>
        <v>930000</v>
      </c>
      <c r="AR43" s="51"/>
      <c r="AS43" s="359">
        <f t="shared" si="10"/>
        <v>-50000</v>
      </c>
    </row>
    <row r="44" spans="1:47" s="36" customFormat="1" ht="15.75" x14ac:dyDescent="0.25">
      <c r="A44" s="386" t="s">
        <v>648</v>
      </c>
      <c r="B44" s="393" t="s">
        <v>605</v>
      </c>
      <c r="C44" s="423" t="s">
        <v>815</v>
      </c>
      <c r="D44" s="52" t="s">
        <v>884</v>
      </c>
      <c r="E44" s="52" t="s">
        <v>885</v>
      </c>
      <c r="F44" s="423" t="s">
        <v>893</v>
      </c>
      <c r="G44" s="112" t="s">
        <v>684</v>
      </c>
      <c r="H44" s="52" t="s">
        <v>623</v>
      </c>
      <c r="I44" s="52" t="s">
        <v>320</v>
      </c>
      <c r="J44" s="423"/>
      <c r="K44" s="329" t="s">
        <v>370</v>
      </c>
      <c r="L44" s="87">
        <v>44690</v>
      </c>
      <c r="M44" s="87">
        <v>44692</v>
      </c>
      <c r="N44" s="87">
        <f t="shared" ref="N44:N49" si="22">L44+45</f>
        <v>44735</v>
      </c>
      <c r="O44" s="87">
        <f>M44+45</f>
        <v>44737</v>
      </c>
      <c r="P44" s="88" t="e">
        <f t="shared" si="18"/>
        <v>#VALUE!</v>
      </c>
      <c r="Q44" s="88">
        <f t="shared" si="19"/>
        <v>45</v>
      </c>
      <c r="R44" s="88">
        <f t="shared" si="19"/>
        <v>45</v>
      </c>
      <c r="S44" s="52" t="s">
        <v>320</v>
      </c>
      <c r="T44" s="376">
        <v>44743</v>
      </c>
      <c r="U44" s="87">
        <f>T44+(6*4.3*7)</f>
        <v>44923.6</v>
      </c>
      <c r="V44" s="88">
        <v>6</v>
      </c>
      <c r="W44" s="88">
        <f t="shared" si="20"/>
        <v>5.999999999999952</v>
      </c>
      <c r="X44" s="50"/>
      <c r="Y44" s="52"/>
      <c r="Z44" s="50"/>
      <c r="AA44" s="189">
        <v>1558000</v>
      </c>
      <c r="AB44" s="211">
        <v>0</v>
      </c>
      <c r="AC44" s="211">
        <v>0</v>
      </c>
      <c r="AD44" s="211">
        <v>0</v>
      </c>
      <c r="AE44" s="211">
        <v>0</v>
      </c>
      <c r="AF44" s="275">
        <v>125000</v>
      </c>
      <c r="AG44" s="275">
        <v>225000</v>
      </c>
      <c r="AH44" s="275">
        <v>300000</v>
      </c>
      <c r="AI44" s="275">
        <v>300000</v>
      </c>
      <c r="AJ44" s="275">
        <v>300000</v>
      </c>
      <c r="AK44" s="275">
        <v>258000</v>
      </c>
      <c r="AL44" s="58"/>
      <c r="AM44" s="58"/>
      <c r="AN44" s="58"/>
      <c r="AO44" s="58"/>
      <c r="AP44" s="47"/>
      <c r="AQ44" s="53">
        <f t="shared" si="21"/>
        <v>1508000</v>
      </c>
      <c r="AR44" s="51"/>
      <c r="AS44" s="359">
        <f t="shared" si="10"/>
        <v>-50000</v>
      </c>
    </row>
    <row r="45" spans="1:47" s="36" customFormat="1" ht="15.75" x14ac:dyDescent="0.25">
      <c r="A45" s="461" t="s">
        <v>649</v>
      </c>
      <c r="B45" s="410" t="s">
        <v>606</v>
      </c>
      <c r="C45" s="426" t="s">
        <v>815</v>
      </c>
      <c r="D45" s="52" t="s">
        <v>884</v>
      </c>
      <c r="E45" s="52" t="s">
        <v>885</v>
      </c>
      <c r="F45" s="423" t="s">
        <v>893</v>
      </c>
      <c r="G45" s="180" t="s">
        <v>684</v>
      </c>
      <c r="H45" s="52" t="s">
        <v>623</v>
      </c>
      <c r="I45" s="52" t="s">
        <v>320</v>
      </c>
      <c r="J45" s="426"/>
      <c r="K45" s="329" t="s">
        <v>370</v>
      </c>
      <c r="L45" s="87">
        <v>44622</v>
      </c>
      <c r="M45" s="329">
        <v>44622</v>
      </c>
      <c r="N45" s="87">
        <f>L45+37</f>
        <v>44659</v>
      </c>
      <c r="O45" s="87">
        <v>44666</v>
      </c>
      <c r="P45" s="88" t="e">
        <f t="shared" si="18"/>
        <v>#VALUE!</v>
      </c>
      <c r="Q45" s="88">
        <f t="shared" si="19"/>
        <v>37</v>
      </c>
      <c r="R45" s="88">
        <f t="shared" si="19"/>
        <v>44</v>
      </c>
      <c r="S45" s="52" t="s">
        <v>320</v>
      </c>
      <c r="T45" s="376">
        <f>O45+30</f>
        <v>44696</v>
      </c>
      <c r="U45" s="276">
        <f>T45+(6*4.3*7)</f>
        <v>44876.6</v>
      </c>
      <c r="V45" s="491">
        <v>6</v>
      </c>
      <c r="W45" s="84">
        <f t="shared" si="20"/>
        <v>5.999999999999952</v>
      </c>
      <c r="X45" s="50"/>
      <c r="Y45" s="52"/>
      <c r="Z45" s="50"/>
      <c r="AA45" s="189">
        <v>540000</v>
      </c>
      <c r="AB45" s="211">
        <v>0</v>
      </c>
      <c r="AC45" s="211">
        <v>0</v>
      </c>
      <c r="AD45" s="211">
        <v>0</v>
      </c>
      <c r="AE45" s="211">
        <v>0</v>
      </c>
      <c r="AF45" s="275">
        <v>75000</v>
      </c>
      <c r="AG45" s="275">
        <v>90000</v>
      </c>
      <c r="AH45" s="275">
        <v>100000</v>
      </c>
      <c r="AI45" s="275">
        <v>100000</v>
      </c>
      <c r="AJ45" s="275">
        <v>100000</v>
      </c>
      <c r="AK45" s="275">
        <v>50000</v>
      </c>
      <c r="AL45" s="58"/>
      <c r="AM45" s="58"/>
      <c r="AN45" s="58"/>
      <c r="AO45" s="58"/>
      <c r="AP45" s="47"/>
      <c r="AQ45" s="53">
        <f t="shared" si="21"/>
        <v>515000</v>
      </c>
      <c r="AR45" s="51"/>
      <c r="AS45" s="359">
        <f t="shared" si="10"/>
        <v>-25000</v>
      </c>
    </row>
    <row r="46" spans="1:47" s="452" customFormat="1" ht="15.75" x14ac:dyDescent="0.25">
      <c r="A46" s="374" t="s">
        <v>650</v>
      </c>
      <c r="B46" s="374" t="s">
        <v>900</v>
      </c>
      <c r="C46" s="522" t="s">
        <v>815</v>
      </c>
      <c r="D46" s="52" t="s">
        <v>884</v>
      </c>
      <c r="E46" s="52" t="s">
        <v>885</v>
      </c>
      <c r="F46" s="423" t="s">
        <v>893</v>
      </c>
      <c r="G46" s="396" t="s">
        <v>684</v>
      </c>
      <c r="H46" s="52" t="s">
        <v>623</v>
      </c>
      <c r="I46" s="52" t="s">
        <v>320</v>
      </c>
      <c r="J46" s="394"/>
      <c r="K46" s="329" t="s">
        <v>370</v>
      </c>
      <c r="L46" s="87">
        <v>44662</v>
      </c>
      <c r="M46" s="87">
        <v>44666</v>
      </c>
      <c r="N46" s="87">
        <f t="shared" si="22"/>
        <v>44707</v>
      </c>
      <c r="O46" s="87">
        <f>M46+45</f>
        <v>44711</v>
      </c>
      <c r="P46" s="88" t="e">
        <f t="shared" si="18"/>
        <v>#VALUE!</v>
      </c>
      <c r="Q46" s="88">
        <f t="shared" si="19"/>
        <v>45</v>
      </c>
      <c r="R46" s="88">
        <f t="shared" si="19"/>
        <v>45</v>
      </c>
      <c r="S46" s="52" t="s">
        <v>320</v>
      </c>
      <c r="T46" s="376">
        <f>O46+30</f>
        <v>44741</v>
      </c>
      <c r="U46" s="276">
        <f>T46+(6*4.3*7)</f>
        <v>44921.599999999999</v>
      </c>
      <c r="V46" s="491">
        <v>6</v>
      </c>
      <c r="W46" s="84">
        <f t="shared" si="20"/>
        <v>5.999999999999952</v>
      </c>
      <c r="X46" s="50"/>
      <c r="Y46" s="52"/>
      <c r="Z46" s="50"/>
      <c r="AA46" s="189">
        <v>800000</v>
      </c>
      <c r="AB46" s="211">
        <v>0</v>
      </c>
      <c r="AC46" s="211">
        <v>0</v>
      </c>
      <c r="AD46" s="211">
        <v>0</v>
      </c>
      <c r="AE46" s="211">
        <v>0</v>
      </c>
      <c r="AF46" s="275">
        <v>125000</v>
      </c>
      <c r="AG46" s="275">
        <v>125000</v>
      </c>
      <c r="AH46" s="275">
        <v>150000</v>
      </c>
      <c r="AI46" s="275">
        <v>150000</v>
      </c>
      <c r="AJ46" s="275">
        <v>125000</v>
      </c>
      <c r="AK46" s="275">
        <v>50000</v>
      </c>
      <c r="AL46" s="58"/>
      <c r="AM46" s="58"/>
      <c r="AN46" s="58"/>
      <c r="AO46" s="53"/>
      <c r="AP46" s="47"/>
      <c r="AQ46" s="53">
        <f t="shared" si="21"/>
        <v>725000</v>
      </c>
      <c r="AR46" s="51"/>
      <c r="AS46" s="359">
        <f t="shared" si="10"/>
        <v>-75000</v>
      </c>
      <c r="AT46" s="36"/>
      <c r="AU46" s="36"/>
    </row>
    <row r="47" spans="1:47" s="36" customFormat="1" ht="15.75" x14ac:dyDescent="0.25">
      <c r="A47" s="374" t="s">
        <v>651</v>
      </c>
      <c r="B47" s="374" t="s">
        <v>608</v>
      </c>
      <c r="C47" s="52" t="s">
        <v>815</v>
      </c>
      <c r="D47" s="394" t="s">
        <v>884</v>
      </c>
      <c r="E47" s="52" t="s">
        <v>885</v>
      </c>
      <c r="F47" s="423" t="s">
        <v>893</v>
      </c>
      <c r="G47" s="113" t="s">
        <v>684</v>
      </c>
      <c r="H47" s="52" t="s">
        <v>623</v>
      </c>
      <c r="I47" s="52" t="s">
        <v>320</v>
      </c>
      <c r="J47" s="52"/>
      <c r="K47" s="329" t="s">
        <v>370</v>
      </c>
      <c r="L47" s="87">
        <v>44690</v>
      </c>
      <c r="M47" s="87">
        <v>44735</v>
      </c>
      <c r="N47" s="87">
        <f t="shared" si="22"/>
        <v>44735</v>
      </c>
      <c r="O47" s="87">
        <f>M47+45</f>
        <v>44780</v>
      </c>
      <c r="P47" s="88" t="e">
        <f t="shared" si="18"/>
        <v>#VALUE!</v>
      </c>
      <c r="Q47" s="88">
        <f t="shared" si="19"/>
        <v>45</v>
      </c>
      <c r="R47" s="88">
        <f t="shared" si="19"/>
        <v>45</v>
      </c>
      <c r="S47" s="52" t="s">
        <v>320</v>
      </c>
      <c r="T47" s="376">
        <f>O47+30</f>
        <v>44810</v>
      </c>
      <c r="U47" s="276">
        <f>T47+(6*4.3*7)</f>
        <v>44990.6</v>
      </c>
      <c r="V47" s="491">
        <v>6</v>
      </c>
      <c r="W47" s="84">
        <f t="shared" si="20"/>
        <v>5.999999999999952</v>
      </c>
      <c r="X47" s="50"/>
      <c r="Y47" s="52"/>
      <c r="Z47" s="50"/>
      <c r="AA47" s="189">
        <v>690000</v>
      </c>
      <c r="AB47" s="211">
        <v>0</v>
      </c>
      <c r="AC47" s="211">
        <v>0</v>
      </c>
      <c r="AD47" s="211">
        <v>0</v>
      </c>
      <c r="AE47" s="211">
        <v>0</v>
      </c>
      <c r="AF47" s="275">
        <v>100000</v>
      </c>
      <c r="AG47" s="275">
        <v>120000</v>
      </c>
      <c r="AH47" s="275">
        <v>120000</v>
      </c>
      <c r="AI47" s="275">
        <v>120000</v>
      </c>
      <c r="AJ47" s="275">
        <v>120000</v>
      </c>
      <c r="AK47" s="275">
        <v>60000</v>
      </c>
      <c r="AL47" s="58"/>
      <c r="AM47" s="58"/>
      <c r="AN47" s="58"/>
      <c r="AO47" s="53"/>
      <c r="AP47" s="47"/>
      <c r="AQ47" s="53">
        <f t="shared" si="21"/>
        <v>640000</v>
      </c>
      <c r="AR47" s="51"/>
      <c r="AS47" s="359">
        <f t="shared" si="10"/>
        <v>-50000</v>
      </c>
      <c r="AU47" s="55"/>
    </row>
    <row r="48" spans="1:47" s="36" customFormat="1" ht="15.75" x14ac:dyDescent="0.25">
      <c r="A48" s="374" t="s">
        <v>901</v>
      </c>
      <c r="B48" s="374" t="s">
        <v>904</v>
      </c>
      <c r="C48" s="52" t="s">
        <v>815</v>
      </c>
      <c r="D48" s="394" t="s">
        <v>884</v>
      </c>
      <c r="E48" s="52" t="s">
        <v>885</v>
      </c>
      <c r="F48" s="423" t="s">
        <v>893</v>
      </c>
      <c r="G48" s="113" t="s">
        <v>929</v>
      </c>
      <c r="H48" s="52" t="s">
        <v>623</v>
      </c>
      <c r="I48" s="52" t="s">
        <v>320</v>
      </c>
      <c r="J48" s="52"/>
      <c r="K48" s="329" t="s">
        <v>370</v>
      </c>
      <c r="L48" s="87">
        <v>44690</v>
      </c>
      <c r="M48" s="87">
        <v>44735</v>
      </c>
      <c r="N48" s="87">
        <f t="shared" si="22"/>
        <v>44735</v>
      </c>
      <c r="O48" s="87">
        <f>M48+45</f>
        <v>44780</v>
      </c>
      <c r="P48" s="88" t="e">
        <f t="shared" si="18"/>
        <v>#VALUE!</v>
      </c>
      <c r="Q48" s="88">
        <f t="shared" si="19"/>
        <v>45</v>
      </c>
      <c r="R48" s="88">
        <f t="shared" si="19"/>
        <v>45</v>
      </c>
      <c r="S48" s="52" t="s">
        <v>320</v>
      </c>
      <c r="T48" s="376">
        <f>O48+30</f>
        <v>44810</v>
      </c>
      <c r="U48" s="276"/>
      <c r="V48" s="491"/>
      <c r="W48" s="84">
        <f t="shared" si="20"/>
        <v>-1488.7043189368771</v>
      </c>
      <c r="X48" s="50"/>
      <c r="Y48" s="52"/>
      <c r="Z48" s="50"/>
      <c r="AA48" s="189"/>
      <c r="AB48" s="211">
        <v>0</v>
      </c>
      <c r="AC48" s="211">
        <v>0</v>
      </c>
      <c r="AD48" s="211">
        <v>0</v>
      </c>
      <c r="AE48" s="211">
        <v>0</v>
      </c>
      <c r="AF48" s="275"/>
      <c r="AG48" s="275"/>
      <c r="AH48" s="275"/>
      <c r="AI48" s="275"/>
      <c r="AJ48" s="275"/>
      <c r="AK48" s="275"/>
      <c r="AL48" s="58"/>
      <c r="AM48" s="58"/>
      <c r="AN48" s="58"/>
      <c r="AO48" s="53"/>
      <c r="AP48" s="47"/>
      <c r="AQ48" s="53">
        <f t="shared" si="21"/>
        <v>0</v>
      </c>
      <c r="AR48" s="51"/>
      <c r="AS48" s="359">
        <f t="shared" si="10"/>
        <v>0</v>
      </c>
      <c r="AU48" s="55"/>
    </row>
    <row r="49" spans="1:47" s="36" customFormat="1" ht="15.75" x14ac:dyDescent="0.25">
      <c r="A49" s="374" t="s">
        <v>902</v>
      </c>
      <c r="B49" s="374" t="s">
        <v>905</v>
      </c>
      <c r="C49" s="52" t="s">
        <v>815</v>
      </c>
      <c r="D49" s="394" t="s">
        <v>884</v>
      </c>
      <c r="E49" s="52" t="s">
        <v>885</v>
      </c>
      <c r="F49" s="423" t="s">
        <v>893</v>
      </c>
      <c r="G49" s="113" t="s">
        <v>930</v>
      </c>
      <c r="H49" s="52" t="s">
        <v>623</v>
      </c>
      <c r="I49" s="52" t="s">
        <v>320</v>
      </c>
      <c r="J49" s="52"/>
      <c r="K49" s="329" t="s">
        <v>370</v>
      </c>
      <c r="L49" s="87">
        <v>44690</v>
      </c>
      <c r="M49" s="87">
        <v>44735</v>
      </c>
      <c r="N49" s="87">
        <f t="shared" si="22"/>
        <v>44735</v>
      </c>
      <c r="O49" s="87">
        <f>M49+45</f>
        <v>44780</v>
      </c>
      <c r="P49" s="88" t="e">
        <f t="shared" si="18"/>
        <v>#VALUE!</v>
      </c>
      <c r="Q49" s="88">
        <f t="shared" si="19"/>
        <v>45</v>
      </c>
      <c r="R49" s="88">
        <f t="shared" si="19"/>
        <v>45</v>
      </c>
      <c r="S49" s="52" t="s">
        <v>320</v>
      </c>
      <c r="T49" s="376">
        <f>O49+30</f>
        <v>44810</v>
      </c>
      <c r="U49" s="276">
        <v>44958</v>
      </c>
      <c r="V49" s="491"/>
      <c r="W49" s="84">
        <f t="shared" si="20"/>
        <v>4.9169435215946846</v>
      </c>
      <c r="X49" s="50"/>
      <c r="Y49" s="52"/>
      <c r="Z49" s="50"/>
      <c r="AA49" s="189"/>
      <c r="AB49" s="211">
        <v>0</v>
      </c>
      <c r="AC49" s="211">
        <v>0</v>
      </c>
      <c r="AD49" s="211">
        <v>0</v>
      </c>
      <c r="AE49" s="211">
        <v>0</v>
      </c>
      <c r="AF49" s="275"/>
      <c r="AG49" s="275"/>
      <c r="AH49" s="275"/>
      <c r="AI49" s="275"/>
      <c r="AJ49" s="275"/>
      <c r="AK49" s="275"/>
      <c r="AL49" s="58"/>
      <c r="AM49" s="58"/>
      <c r="AN49" s="58"/>
      <c r="AO49" s="53"/>
      <c r="AP49" s="47"/>
      <c r="AQ49" s="53">
        <f t="shared" si="21"/>
        <v>0</v>
      </c>
      <c r="AR49" s="51"/>
      <c r="AS49" s="359">
        <f t="shared" si="10"/>
        <v>0</v>
      </c>
      <c r="AU49" s="55"/>
    </row>
    <row r="50" spans="1:47" s="36" customFormat="1" ht="15.75" x14ac:dyDescent="0.25">
      <c r="A50" s="374" t="s">
        <v>903</v>
      </c>
      <c r="B50" s="374" t="s">
        <v>906</v>
      </c>
      <c r="C50" s="52" t="s">
        <v>815</v>
      </c>
      <c r="D50" s="394" t="s">
        <v>884</v>
      </c>
      <c r="E50" s="52" t="s">
        <v>885</v>
      </c>
      <c r="F50" s="423" t="s">
        <v>893</v>
      </c>
      <c r="G50" s="113" t="s">
        <v>931</v>
      </c>
      <c r="H50" s="52" t="s">
        <v>623</v>
      </c>
      <c r="I50" s="52" t="s">
        <v>320</v>
      </c>
      <c r="J50" s="52"/>
      <c r="K50" s="329" t="s">
        <v>370</v>
      </c>
      <c r="L50" s="329" t="s">
        <v>24</v>
      </c>
      <c r="M50" s="329" t="s">
        <v>24</v>
      </c>
      <c r="N50" s="329" t="s">
        <v>24</v>
      </c>
      <c r="O50" s="329" t="s">
        <v>24</v>
      </c>
      <c r="P50" s="329" t="s">
        <v>24</v>
      </c>
      <c r="Q50" s="329" t="s">
        <v>24</v>
      </c>
      <c r="R50" s="346" t="s">
        <v>24</v>
      </c>
      <c r="S50" s="346" t="s">
        <v>24</v>
      </c>
      <c r="T50" s="346" t="s">
        <v>24</v>
      </c>
      <c r="U50" s="346" t="s">
        <v>24</v>
      </c>
      <c r="V50" s="346" t="s">
        <v>24</v>
      </c>
      <c r="W50" s="346" t="s">
        <v>24</v>
      </c>
      <c r="X50" s="346" t="s">
        <v>24</v>
      </c>
      <c r="Y50" s="346" t="s">
        <v>24</v>
      </c>
      <c r="Z50" s="346" t="s">
        <v>24</v>
      </c>
      <c r="AA50" s="189"/>
      <c r="AB50" s="211">
        <v>0</v>
      </c>
      <c r="AC50" s="211">
        <v>0</v>
      </c>
      <c r="AD50" s="211">
        <v>0</v>
      </c>
      <c r="AE50" s="211">
        <v>0</v>
      </c>
      <c r="AF50" s="275"/>
      <c r="AG50" s="275"/>
      <c r="AH50" s="275"/>
      <c r="AI50" s="275"/>
      <c r="AJ50" s="275"/>
      <c r="AK50" s="275"/>
      <c r="AL50" s="58"/>
      <c r="AM50" s="58"/>
      <c r="AN50" s="58"/>
      <c r="AO50" s="53"/>
      <c r="AP50" s="47"/>
      <c r="AQ50" s="53">
        <f t="shared" si="21"/>
        <v>0</v>
      </c>
      <c r="AR50" s="51"/>
      <c r="AS50" s="359">
        <f t="shared" si="10"/>
        <v>0</v>
      </c>
      <c r="AU50" s="55"/>
    </row>
    <row r="51" spans="1:47" s="36" customFormat="1" ht="15.75" x14ac:dyDescent="0.25">
      <c r="A51" s="99"/>
      <c r="B51" s="99"/>
      <c r="C51" s="395"/>
      <c r="D51" s="395"/>
      <c r="E51" s="91"/>
      <c r="F51" s="467"/>
      <c r="G51" s="391"/>
      <c r="H51" s="91"/>
      <c r="I51" s="91"/>
      <c r="J51" s="395"/>
      <c r="K51" s="91"/>
      <c r="L51" s="91"/>
      <c r="M51" s="91"/>
      <c r="N51" s="91"/>
      <c r="O51" s="91"/>
      <c r="P51" s="92"/>
      <c r="Q51" s="91"/>
      <c r="R51" s="92"/>
      <c r="S51" s="91"/>
      <c r="T51" s="91"/>
      <c r="U51" s="91"/>
      <c r="V51" s="92"/>
      <c r="W51" s="91"/>
      <c r="X51" s="92"/>
      <c r="Y51" s="91"/>
      <c r="Z51" s="92"/>
      <c r="AA51" s="59">
        <f>SUBTOTAL(9,AA42:AA50)</f>
        <v>16761746.800000001</v>
      </c>
      <c r="AB51" s="243">
        <f>SUBTOTAL(9,AB42:AB50)</f>
        <v>3069014.06</v>
      </c>
      <c r="AC51" s="243">
        <f t="shared" ref="AC51:AQ51" si="23">SUBTOTAL(9,AC42:AC50)</f>
        <v>532188.35</v>
      </c>
      <c r="AD51" s="243">
        <f t="shared" si="23"/>
        <v>1527507.98</v>
      </c>
      <c r="AE51" s="243">
        <f t="shared" si="23"/>
        <v>798302.17</v>
      </c>
      <c r="AF51" s="243">
        <f t="shared" si="23"/>
        <v>1525000</v>
      </c>
      <c r="AG51" s="243">
        <f t="shared" si="23"/>
        <v>1685000</v>
      </c>
      <c r="AH51" s="243">
        <f t="shared" si="23"/>
        <v>1820000</v>
      </c>
      <c r="AI51" s="243">
        <f t="shared" si="23"/>
        <v>1870000</v>
      </c>
      <c r="AJ51" s="243">
        <f t="shared" si="23"/>
        <v>1845000</v>
      </c>
      <c r="AK51" s="243">
        <f t="shared" si="23"/>
        <v>1323000</v>
      </c>
      <c r="AL51" s="243">
        <f t="shared" si="23"/>
        <v>250000</v>
      </c>
      <c r="AM51" s="243">
        <f t="shared" si="23"/>
        <v>65036.41</v>
      </c>
      <c r="AN51" s="243">
        <f t="shared" si="23"/>
        <v>0</v>
      </c>
      <c r="AO51" s="243">
        <f t="shared" si="23"/>
        <v>0</v>
      </c>
      <c r="AP51" s="47"/>
      <c r="AQ51" s="243">
        <f t="shared" si="23"/>
        <v>16310048.970000001</v>
      </c>
      <c r="AR51" s="51"/>
      <c r="AS51" s="359">
        <f t="shared" si="10"/>
        <v>-451697.83000000007</v>
      </c>
    </row>
    <row r="52" spans="1:47" s="36" customFormat="1" ht="15.75" x14ac:dyDescent="0.25">
      <c r="A52" s="381" t="s">
        <v>52</v>
      </c>
      <c r="B52" s="381"/>
      <c r="C52" s="433"/>
      <c r="D52" s="433"/>
      <c r="E52" s="102"/>
      <c r="F52" s="433"/>
      <c r="G52" s="387"/>
      <c r="H52" s="102"/>
      <c r="I52" s="102"/>
      <c r="J52" s="433"/>
      <c r="K52" s="102"/>
      <c r="L52" s="102"/>
      <c r="M52" s="276"/>
      <c r="N52" s="276"/>
      <c r="O52" s="276"/>
      <c r="P52" s="84"/>
      <c r="Q52" s="276"/>
      <c r="R52" s="84"/>
      <c r="S52" s="102"/>
      <c r="T52" s="102"/>
      <c r="U52" s="102"/>
      <c r="V52" s="84"/>
      <c r="W52" s="102"/>
      <c r="X52" s="102"/>
      <c r="Y52" s="276"/>
      <c r="Z52" s="102"/>
      <c r="AA52" s="102"/>
      <c r="AB52" s="495"/>
      <c r="AC52" s="495"/>
      <c r="AD52" s="495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47"/>
      <c r="AQ52" s="103"/>
      <c r="AR52" s="51"/>
      <c r="AS52" s="359">
        <f t="shared" si="10"/>
        <v>0</v>
      </c>
    </row>
    <row r="53" spans="1:47" s="36" customFormat="1" ht="15.75" x14ac:dyDescent="0.25">
      <c r="A53" s="34" t="s">
        <v>185</v>
      </c>
      <c r="B53" s="34" t="s">
        <v>622</v>
      </c>
      <c r="C53" s="87" t="s">
        <v>324</v>
      </c>
      <c r="D53" s="87" t="s">
        <v>875</v>
      </c>
      <c r="E53" s="52" t="s">
        <v>402</v>
      </c>
      <c r="F53" s="394" t="s">
        <v>890</v>
      </c>
      <c r="G53" s="396" t="s">
        <v>696</v>
      </c>
      <c r="H53" s="52" t="s">
        <v>46</v>
      </c>
      <c r="I53" s="329">
        <v>44358</v>
      </c>
      <c r="J53" s="434"/>
      <c r="K53" s="330" t="s">
        <v>370</v>
      </c>
      <c r="L53" s="52">
        <v>44328</v>
      </c>
      <c r="M53" s="330">
        <v>44328</v>
      </c>
      <c r="N53" s="299">
        <v>44418</v>
      </c>
      <c r="O53" s="330">
        <v>44418</v>
      </c>
      <c r="P53" s="333" t="e">
        <f t="shared" ref="P53:P58" si="24">O53-K53</f>
        <v>#VALUE!</v>
      </c>
      <c r="Q53" s="301">
        <f t="shared" ref="Q53:R58" si="25">N53-L53</f>
        <v>90</v>
      </c>
      <c r="R53" s="333">
        <f t="shared" si="25"/>
        <v>90</v>
      </c>
      <c r="S53" s="52" t="s">
        <v>370</v>
      </c>
      <c r="T53" s="330">
        <v>44424</v>
      </c>
      <c r="U53" s="87">
        <v>44701</v>
      </c>
      <c r="V53" s="50">
        <v>9</v>
      </c>
      <c r="W53" s="50">
        <f t="shared" ref="W53:W58" si="26">((U53-T53)/7)/4.3</f>
        <v>9.2026578073089702</v>
      </c>
      <c r="X53" s="50"/>
      <c r="Y53" s="52"/>
      <c r="Z53" s="50" t="s">
        <v>370</v>
      </c>
      <c r="AA53" s="182">
        <v>1961015.83</v>
      </c>
      <c r="AB53" s="211">
        <v>952423.7300000001</v>
      </c>
      <c r="AC53" s="211">
        <v>173273.61</v>
      </c>
      <c r="AD53" s="211">
        <v>93239.18</v>
      </c>
      <c r="AE53" s="211">
        <v>115103.75</v>
      </c>
      <c r="AF53" s="275">
        <v>225000</v>
      </c>
      <c r="AG53" s="275">
        <v>225000</v>
      </c>
      <c r="AH53" s="275">
        <v>67079.31</v>
      </c>
      <c r="AI53" s="58"/>
      <c r="AJ53" s="58"/>
      <c r="AK53" s="58"/>
      <c r="AL53" s="58"/>
      <c r="AM53" s="58"/>
      <c r="AN53" s="58"/>
      <c r="AO53" s="53"/>
      <c r="AP53" s="47"/>
      <c r="AQ53" s="53">
        <f t="shared" ref="AQ53:AQ58" si="27">SUM(AB53:AP53)</f>
        <v>1851119.58</v>
      </c>
      <c r="AR53" s="51"/>
      <c r="AS53" s="359">
        <f t="shared" si="10"/>
        <v>-109896.25</v>
      </c>
      <c r="AU53" s="55"/>
    </row>
    <row r="54" spans="1:47" s="36" customFormat="1" ht="15.75" x14ac:dyDescent="0.25">
      <c r="A54" s="374" t="s">
        <v>206</v>
      </c>
      <c r="B54" s="374" t="s">
        <v>952</v>
      </c>
      <c r="C54" s="52" t="s">
        <v>822</v>
      </c>
      <c r="D54" s="87" t="s">
        <v>875</v>
      </c>
      <c r="E54" s="52" t="s">
        <v>778</v>
      </c>
      <c r="F54" s="52" t="s">
        <v>892</v>
      </c>
      <c r="G54" s="113" t="s">
        <v>932</v>
      </c>
      <c r="H54" s="52" t="s">
        <v>623</v>
      </c>
      <c r="I54" s="52">
        <v>44662</v>
      </c>
      <c r="J54" s="52"/>
      <c r="K54" s="329">
        <v>44650</v>
      </c>
      <c r="L54" s="87">
        <v>44592</v>
      </c>
      <c r="M54" s="329">
        <v>44595</v>
      </c>
      <c r="N54" s="299">
        <v>44637</v>
      </c>
      <c r="O54" s="87">
        <v>44666</v>
      </c>
      <c r="P54" s="88">
        <f>O54-K54</f>
        <v>16</v>
      </c>
      <c r="Q54" s="50">
        <f t="shared" si="25"/>
        <v>45</v>
      </c>
      <c r="R54" s="88">
        <f t="shared" si="25"/>
        <v>71</v>
      </c>
      <c r="S54" s="52" t="s">
        <v>320</v>
      </c>
      <c r="T54" s="376">
        <f>O54</f>
        <v>44666</v>
      </c>
      <c r="U54" s="347">
        <f>T54+(6*4.3*7)</f>
        <v>44846.6</v>
      </c>
      <c r="V54" s="50">
        <v>5.999999999999952</v>
      </c>
      <c r="W54" s="50">
        <f>((U54-T54)/7)/4.3</f>
        <v>5.999999999999952</v>
      </c>
      <c r="X54" s="50"/>
      <c r="Y54" s="52"/>
      <c r="Z54" s="50"/>
      <c r="AA54" s="53">
        <v>2500000</v>
      </c>
      <c r="AB54" s="211">
        <v>0</v>
      </c>
      <c r="AC54" s="211">
        <v>0</v>
      </c>
      <c r="AD54" s="211">
        <v>0</v>
      </c>
      <c r="AE54" s="211">
        <v>0</v>
      </c>
      <c r="AF54" s="275">
        <v>125000</v>
      </c>
      <c r="AG54" s="275">
        <v>200000</v>
      </c>
      <c r="AH54" s="275">
        <v>200000</v>
      </c>
      <c r="AI54" s="275">
        <v>200000</v>
      </c>
      <c r="AJ54" s="275">
        <v>200000</v>
      </c>
      <c r="AK54" s="275">
        <v>200000</v>
      </c>
      <c r="AL54" s="275">
        <v>200000</v>
      </c>
      <c r="AM54" s="275">
        <v>200000</v>
      </c>
      <c r="AN54" s="275">
        <v>200000</v>
      </c>
      <c r="AO54" s="275">
        <v>700000</v>
      </c>
      <c r="AP54" s="47"/>
      <c r="AQ54" s="53">
        <f>SUM(AB54:AP54)</f>
        <v>2425000</v>
      </c>
      <c r="AR54" s="51"/>
      <c r="AS54" s="359">
        <f>AQ54-AA54</f>
        <v>-75000</v>
      </c>
    </row>
    <row r="55" spans="1:47" s="36" customFormat="1" ht="15.75" x14ac:dyDescent="0.25">
      <c r="A55" s="113" t="s">
        <v>593</v>
      </c>
      <c r="B55" s="114" t="s">
        <v>774</v>
      </c>
      <c r="C55" s="432" t="s">
        <v>70</v>
      </c>
      <c r="D55" s="87" t="s">
        <v>875</v>
      </c>
      <c r="E55" s="87" t="s">
        <v>402</v>
      </c>
      <c r="F55" s="394" t="s">
        <v>890</v>
      </c>
      <c r="G55" s="114" t="s">
        <v>695</v>
      </c>
      <c r="H55" s="87" t="s">
        <v>46</v>
      </c>
      <c r="I55" s="329">
        <v>44519</v>
      </c>
      <c r="J55" s="432"/>
      <c r="K55" s="329" t="s">
        <v>370</v>
      </c>
      <c r="L55" s="87">
        <v>44489</v>
      </c>
      <c r="M55" s="329">
        <v>44489</v>
      </c>
      <c r="N55" s="298">
        <v>44540</v>
      </c>
      <c r="O55" s="329">
        <v>44540</v>
      </c>
      <c r="P55" s="346" t="e">
        <f t="shared" si="24"/>
        <v>#VALUE!</v>
      </c>
      <c r="Q55" s="301">
        <f t="shared" si="25"/>
        <v>51</v>
      </c>
      <c r="R55" s="346">
        <f t="shared" si="25"/>
        <v>51</v>
      </c>
      <c r="S55" s="87" t="s">
        <v>370</v>
      </c>
      <c r="T55" s="329">
        <v>44552</v>
      </c>
      <c r="U55" s="52">
        <v>44742</v>
      </c>
      <c r="V55" s="50">
        <v>9</v>
      </c>
      <c r="W55" s="50">
        <f t="shared" si="26"/>
        <v>6.3122923588039868</v>
      </c>
      <c r="X55" s="50"/>
      <c r="Y55" s="52"/>
      <c r="Z55" s="50" t="s">
        <v>370</v>
      </c>
      <c r="AA55" s="182">
        <v>762952.96</v>
      </c>
      <c r="AB55" s="211">
        <v>92185.59</v>
      </c>
      <c r="AC55" s="211">
        <v>111281.22</v>
      </c>
      <c r="AD55" s="211">
        <v>64974.74</v>
      </c>
      <c r="AE55" s="211">
        <v>100946.93</v>
      </c>
      <c r="AF55" s="275">
        <v>100000</v>
      </c>
      <c r="AG55" s="275">
        <v>125000</v>
      </c>
      <c r="AH55" s="275">
        <v>100000</v>
      </c>
      <c r="AI55" s="275">
        <v>69511.41</v>
      </c>
      <c r="AJ55" s="58"/>
      <c r="AK55" s="58"/>
      <c r="AL55" s="58"/>
      <c r="AM55" s="58"/>
      <c r="AN55" s="58"/>
      <c r="AO55" s="53"/>
      <c r="AP55" s="47"/>
      <c r="AQ55" s="53">
        <f t="shared" si="27"/>
        <v>763899.89</v>
      </c>
      <c r="AR55" s="51"/>
      <c r="AS55" s="359">
        <f t="shared" si="10"/>
        <v>946.93000000005122</v>
      </c>
      <c r="AU55" s="55"/>
    </row>
    <row r="56" spans="1:47" s="36" customFormat="1" ht="15.75" x14ac:dyDescent="0.25">
      <c r="A56" s="111" t="s">
        <v>724</v>
      </c>
      <c r="B56" s="112" t="s">
        <v>654</v>
      </c>
      <c r="C56" s="422" t="s">
        <v>827</v>
      </c>
      <c r="D56" s="87" t="s">
        <v>875</v>
      </c>
      <c r="E56" s="87" t="s">
        <v>873</v>
      </c>
      <c r="F56" s="432" t="s">
        <v>890</v>
      </c>
      <c r="G56" s="61"/>
      <c r="H56" s="87" t="s">
        <v>46</v>
      </c>
      <c r="I56" s="329">
        <v>44588</v>
      </c>
      <c r="J56" s="422"/>
      <c r="K56" s="329">
        <v>44574</v>
      </c>
      <c r="L56" s="87">
        <v>44543</v>
      </c>
      <c r="M56" s="329">
        <v>44575</v>
      </c>
      <c r="N56" s="87">
        <v>44578</v>
      </c>
      <c r="O56" s="486">
        <v>44615</v>
      </c>
      <c r="P56" s="493">
        <f t="shared" si="24"/>
        <v>41</v>
      </c>
      <c r="Q56" s="50">
        <f t="shared" si="25"/>
        <v>35</v>
      </c>
      <c r="R56" s="346">
        <f t="shared" si="25"/>
        <v>40</v>
      </c>
      <c r="S56" s="87" t="s">
        <v>370</v>
      </c>
      <c r="T56" s="329">
        <v>44620</v>
      </c>
      <c r="U56" s="87">
        <v>44820</v>
      </c>
      <c r="V56" s="50">
        <v>9.0000000000000497</v>
      </c>
      <c r="W56" s="50">
        <f t="shared" si="26"/>
        <v>6.6445182724252501</v>
      </c>
      <c r="X56" s="50"/>
      <c r="Y56" s="52"/>
      <c r="Z56" s="50"/>
      <c r="AA56" s="53">
        <v>1500000</v>
      </c>
      <c r="AB56" s="211">
        <v>0</v>
      </c>
      <c r="AC56" s="211">
        <v>0</v>
      </c>
      <c r="AD56" s="211">
        <v>192361.11</v>
      </c>
      <c r="AE56" s="211">
        <v>27166.45</v>
      </c>
      <c r="AF56" s="275">
        <v>100000</v>
      </c>
      <c r="AG56" s="275">
        <v>150000</v>
      </c>
      <c r="AH56" s="275">
        <v>175000</v>
      </c>
      <c r="AI56" s="275">
        <v>175000</v>
      </c>
      <c r="AJ56" s="275">
        <v>175000</v>
      </c>
      <c r="AK56" s="275">
        <v>175000</v>
      </c>
      <c r="AL56" s="275">
        <v>175000</v>
      </c>
      <c r="AM56" s="275">
        <v>100000</v>
      </c>
      <c r="AN56" s="275">
        <v>32638.89</v>
      </c>
      <c r="AO56" s="53"/>
      <c r="AP56" s="47"/>
      <c r="AQ56" s="53">
        <f t="shared" si="27"/>
        <v>1477166.45</v>
      </c>
      <c r="AR56" s="51"/>
      <c r="AS56" s="359">
        <f t="shared" si="10"/>
        <v>-22833.550000000047</v>
      </c>
    </row>
    <row r="57" spans="1:47" s="36" customFormat="1" ht="15.75" x14ac:dyDescent="0.25">
      <c r="A57" s="374" t="s">
        <v>725</v>
      </c>
      <c r="B57" s="375" t="s">
        <v>927</v>
      </c>
      <c r="C57" s="52" t="s">
        <v>827</v>
      </c>
      <c r="D57" s="87" t="s">
        <v>875</v>
      </c>
      <c r="E57" s="52" t="s">
        <v>873</v>
      </c>
      <c r="F57" s="422" t="s">
        <v>890</v>
      </c>
      <c r="G57" s="34"/>
      <c r="H57" s="52" t="s">
        <v>623</v>
      </c>
      <c r="I57" s="52">
        <v>44666</v>
      </c>
      <c r="J57" s="52"/>
      <c r="K57" s="329">
        <v>44574</v>
      </c>
      <c r="L57" s="87">
        <v>44575</v>
      </c>
      <c r="M57" s="329">
        <v>44610</v>
      </c>
      <c r="N57" s="87">
        <v>44620</v>
      </c>
      <c r="O57" s="329">
        <v>44636</v>
      </c>
      <c r="P57" s="346">
        <f t="shared" si="24"/>
        <v>62</v>
      </c>
      <c r="Q57" s="50">
        <f t="shared" si="25"/>
        <v>45</v>
      </c>
      <c r="R57" s="346">
        <f t="shared" si="25"/>
        <v>26</v>
      </c>
      <c r="S57" s="87" t="s">
        <v>370</v>
      </c>
      <c r="T57" s="376">
        <v>44690</v>
      </c>
      <c r="U57" s="276">
        <f>T57+(4*4.3*7)</f>
        <v>44810.400000000001</v>
      </c>
      <c r="V57" s="50">
        <v>4.0000000000000488</v>
      </c>
      <c r="W57" s="50">
        <f t="shared" si="26"/>
        <v>4.0000000000000488</v>
      </c>
      <c r="X57" s="50"/>
      <c r="Y57" s="52"/>
      <c r="Z57" s="50"/>
      <c r="AA57" s="53">
        <v>350000</v>
      </c>
      <c r="AB57" s="211">
        <v>0</v>
      </c>
      <c r="AC57" s="211">
        <v>0</v>
      </c>
      <c r="AD57" s="211">
        <v>0</v>
      </c>
      <c r="AE57" s="211">
        <v>75975.429999999993</v>
      </c>
      <c r="AF57" s="275">
        <v>150000</v>
      </c>
      <c r="AG57" s="275">
        <v>50000</v>
      </c>
      <c r="AH57" s="58"/>
      <c r="AI57" s="58"/>
      <c r="AJ57" s="58"/>
      <c r="AK57" s="58"/>
      <c r="AL57" s="58"/>
      <c r="AM57" s="58"/>
      <c r="AN57" s="58"/>
      <c r="AO57" s="53"/>
      <c r="AP57" s="47"/>
      <c r="AQ57" s="53">
        <f t="shared" si="27"/>
        <v>275975.43</v>
      </c>
      <c r="AR57" s="51"/>
      <c r="AS57" s="359">
        <f t="shared" si="10"/>
        <v>-74024.570000000007</v>
      </c>
    </row>
    <row r="58" spans="1:47" s="36" customFormat="1" ht="15.75" x14ac:dyDescent="0.25">
      <c r="A58" s="374" t="s">
        <v>726</v>
      </c>
      <c r="B58" s="374" t="s">
        <v>897</v>
      </c>
      <c r="C58" s="52" t="s">
        <v>827</v>
      </c>
      <c r="D58" s="87" t="s">
        <v>875</v>
      </c>
      <c r="E58" s="52" t="s">
        <v>873</v>
      </c>
      <c r="F58" s="422" t="s">
        <v>890</v>
      </c>
      <c r="G58" s="34"/>
      <c r="H58" s="52" t="s">
        <v>623</v>
      </c>
      <c r="I58" s="52">
        <v>44666</v>
      </c>
      <c r="J58" s="52"/>
      <c r="K58" s="329">
        <v>44574</v>
      </c>
      <c r="L58" s="87">
        <v>44575</v>
      </c>
      <c r="M58" s="329">
        <v>44610</v>
      </c>
      <c r="N58" s="87">
        <v>44620</v>
      </c>
      <c r="O58" s="329">
        <v>44636</v>
      </c>
      <c r="P58" s="346">
        <f t="shared" si="24"/>
        <v>62</v>
      </c>
      <c r="Q58" s="50">
        <f t="shared" si="25"/>
        <v>45</v>
      </c>
      <c r="R58" s="346">
        <f t="shared" si="25"/>
        <v>26</v>
      </c>
      <c r="S58" s="87" t="s">
        <v>370</v>
      </c>
      <c r="T58" s="376">
        <v>44690</v>
      </c>
      <c r="U58" s="276">
        <f>T58+(4*4.3*7)</f>
        <v>44810.400000000001</v>
      </c>
      <c r="V58" s="50">
        <v>4.0000000000000488</v>
      </c>
      <c r="W58" s="50">
        <f t="shared" si="26"/>
        <v>4.0000000000000488</v>
      </c>
      <c r="X58" s="50"/>
      <c r="Y58" s="52"/>
      <c r="Z58" s="50"/>
      <c r="AA58" s="53">
        <v>450000</v>
      </c>
      <c r="AB58" s="211">
        <v>0</v>
      </c>
      <c r="AC58" s="211">
        <v>0</v>
      </c>
      <c r="AD58" s="211">
        <v>0</v>
      </c>
      <c r="AE58" s="211">
        <v>26192.880000000001</v>
      </c>
      <c r="AF58" s="275">
        <v>50000</v>
      </c>
      <c r="AG58" s="275">
        <v>75000</v>
      </c>
      <c r="AH58" s="275">
        <v>75000</v>
      </c>
      <c r="AI58" s="275">
        <v>75000</v>
      </c>
      <c r="AJ58" s="275">
        <v>75000</v>
      </c>
      <c r="AK58" s="275">
        <v>75000</v>
      </c>
      <c r="AL58" s="275">
        <v>25000</v>
      </c>
      <c r="AM58" s="58"/>
      <c r="AN58" s="58"/>
      <c r="AO58" s="53"/>
      <c r="AP58" s="47"/>
      <c r="AQ58" s="53">
        <f t="shared" si="27"/>
        <v>476192.88</v>
      </c>
      <c r="AR58" s="51"/>
      <c r="AS58" s="359">
        <f t="shared" si="10"/>
        <v>26192.880000000005</v>
      </c>
    </row>
    <row r="59" spans="1:47" s="36" customFormat="1" ht="15.75" x14ac:dyDescent="0.25">
      <c r="A59" s="443"/>
      <c r="B59" s="443"/>
      <c r="C59" s="465"/>
      <c r="D59" s="468"/>
      <c r="E59" s="455"/>
      <c r="F59" s="468"/>
      <c r="G59" s="463"/>
      <c r="H59" s="445"/>
      <c r="I59" s="445"/>
      <c r="J59" s="465"/>
      <c r="K59" s="445"/>
      <c r="L59" s="445"/>
      <c r="M59" s="445"/>
      <c r="N59" s="445"/>
      <c r="O59" s="445"/>
      <c r="P59" s="447"/>
      <c r="Q59" s="445"/>
      <c r="R59" s="447"/>
      <c r="S59" s="445"/>
      <c r="T59" s="445"/>
      <c r="U59" s="445"/>
      <c r="V59" s="447"/>
      <c r="W59" s="445"/>
      <c r="X59" s="447"/>
      <c r="Y59" s="445"/>
      <c r="Z59" s="447"/>
      <c r="AA59" s="448">
        <f t="shared" ref="AA59:AO59" si="28">SUBTOTAL(9,AA53:AA58)</f>
        <v>7523968.79</v>
      </c>
      <c r="AB59" s="243">
        <f t="shared" si="28"/>
        <v>1044609.3200000001</v>
      </c>
      <c r="AC59" s="243">
        <f t="shared" si="28"/>
        <v>284554.82999999996</v>
      </c>
      <c r="AD59" s="243">
        <f t="shared" si="28"/>
        <v>350575.02999999997</v>
      </c>
      <c r="AE59" s="448">
        <f t="shared" si="28"/>
        <v>345385.44</v>
      </c>
      <c r="AF59" s="448">
        <f t="shared" si="28"/>
        <v>750000</v>
      </c>
      <c r="AG59" s="448">
        <f t="shared" si="28"/>
        <v>825000</v>
      </c>
      <c r="AH59" s="448">
        <f t="shared" si="28"/>
        <v>617079.31000000006</v>
      </c>
      <c r="AI59" s="448">
        <f t="shared" si="28"/>
        <v>519511.41000000003</v>
      </c>
      <c r="AJ59" s="448">
        <f t="shared" si="28"/>
        <v>450000</v>
      </c>
      <c r="AK59" s="448">
        <f t="shared" si="28"/>
        <v>450000</v>
      </c>
      <c r="AL59" s="448">
        <f t="shared" si="28"/>
        <v>400000</v>
      </c>
      <c r="AM59" s="448">
        <f t="shared" si="28"/>
        <v>300000</v>
      </c>
      <c r="AN59" s="448">
        <f t="shared" si="28"/>
        <v>232638.89</v>
      </c>
      <c r="AO59" s="448">
        <f t="shared" si="28"/>
        <v>700000</v>
      </c>
      <c r="AP59" s="449"/>
      <c r="AQ59" s="448">
        <f>SUBTOTAL(9,AQ53:AQ58)</f>
        <v>7269354.2299999995</v>
      </c>
      <c r="AR59" s="450"/>
      <c r="AS59" s="451">
        <f t="shared" si="10"/>
        <v>-254614.56000000052</v>
      </c>
      <c r="AT59" s="452"/>
      <c r="AU59" s="453"/>
    </row>
    <row r="60" spans="1:47" s="36" customFormat="1" ht="15.75" x14ac:dyDescent="0.25">
      <c r="A60" s="381" t="s">
        <v>517</v>
      </c>
      <c r="B60" s="106"/>
      <c r="C60" s="101"/>
      <c r="D60" s="101"/>
      <c r="E60" s="102"/>
      <c r="F60" s="420"/>
      <c r="G60" s="106"/>
      <c r="H60" s="102"/>
      <c r="I60" s="102"/>
      <c r="J60" s="101"/>
      <c r="K60" s="102"/>
      <c r="L60" s="102"/>
      <c r="M60" s="276"/>
      <c r="N60" s="276"/>
      <c r="O60" s="276"/>
      <c r="P60" s="84"/>
      <c r="Q60" s="276"/>
      <c r="R60" s="84"/>
      <c r="S60" s="102"/>
      <c r="T60" s="102"/>
      <c r="U60" s="102"/>
      <c r="V60" s="84"/>
      <c r="W60" s="102"/>
      <c r="X60" s="102"/>
      <c r="Y60" s="276"/>
      <c r="Z60" s="102"/>
      <c r="AA60" s="102"/>
      <c r="AB60" s="495"/>
      <c r="AC60" s="495"/>
      <c r="AD60" s="495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47"/>
      <c r="AQ60" s="103"/>
      <c r="AR60" s="51"/>
      <c r="AS60" s="359">
        <f t="shared" si="10"/>
        <v>0</v>
      </c>
    </row>
    <row r="61" spans="1:47" s="36" customFormat="1" ht="15.75" x14ac:dyDescent="0.25">
      <c r="A61" s="113" t="s">
        <v>194</v>
      </c>
      <c r="B61" s="113" t="s">
        <v>609</v>
      </c>
      <c r="C61" s="52" t="s">
        <v>821</v>
      </c>
      <c r="D61" s="52" t="s">
        <v>708</v>
      </c>
      <c r="E61" s="52" t="s">
        <v>45</v>
      </c>
      <c r="F61" s="52" t="s">
        <v>890</v>
      </c>
      <c r="G61" s="34" t="s">
        <v>196</v>
      </c>
      <c r="H61" s="52" t="s">
        <v>623</v>
      </c>
      <c r="I61" s="52" t="s">
        <v>320</v>
      </c>
      <c r="J61" s="52"/>
      <c r="K61" s="329">
        <v>44641</v>
      </c>
      <c r="L61" s="87">
        <v>44597</v>
      </c>
      <c r="M61" s="298">
        <v>44692</v>
      </c>
      <c r="N61" s="298">
        <v>44667</v>
      </c>
      <c r="O61" s="87">
        <f>M61+60</f>
        <v>44752</v>
      </c>
      <c r="P61" s="88">
        <f>O61-K61</f>
        <v>111</v>
      </c>
      <c r="Q61" s="50">
        <f>N61-L61</f>
        <v>70</v>
      </c>
      <c r="R61" s="50">
        <f>O61-M61</f>
        <v>60</v>
      </c>
      <c r="S61" s="52" t="s">
        <v>320</v>
      </c>
      <c r="T61" s="87">
        <v>44716</v>
      </c>
      <c r="U61" s="52">
        <f>T61+(9*4.3*7)</f>
        <v>44986.9</v>
      </c>
      <c r="V61" s="50">
        <v>9.0000000000000497</v>
      </c>
      <c r="W61" s="50">
        <f>((U61-T61)/7)/4.3</f>
        <v>9.0000000000000497</v>
      </c>
      <c r="X61" s="50"/>
      <c r="Y61" s="52"/>
      <c r="Z61" s="50"/>
      <c r="AA61" s="53">
        <v>2200000</v>
      </c>
      <c r="AB61" s="211">
        <v>0</v>
      </c>
      <c r="AC61" s="211">
        <v>0</v>
      </c>
      <c r="AD61" s="211">
        <v>0</v>
      </c>
      <c r="AE61" s="211">
        <v>147115.94</v>
      </c>
      <c r="AF61" s="275">
        <v>200000</v>
      </c>
      <c r="AG61" s="275">
        <v>260000</v>
      </c>
      <c r="AH61" s="275">
        <v>260000</v>
      </c>
      <c r="AI61" s="275">
        <v>300000</v>
      </c>
      <c r="AJ61" s="275">
        <v>300000</v>
      </c>
      <c r="AK61" s="275">
        <v>260000</v>
      </c>
      <c r="AL61" s="275">
        <v>260000</v>
      </c>
      <c r="AM61" s="275">
        <v>210000</v>
      </c>
      <c r="AN61" s="58"/>
      <c r="AO61" s="58"/>
      <c r="AP61" s="47"/>
      <c r="AQ61" s="53">
        <f>SUM(AB61:AP61)</f>
        <v>2197115.94</v>
      </c>
      <c r="AR61" s="51"/>
      <c r="AS61" s="359">
        <f>AQ61-AA61</f>
        <v>-2884.0600000000559</v>
      </c>
    </row>
    <row r="62" spans="1:47" s="36" customFormat="1" ht="15.75" x14ac:dyDescent="0.25">
      <c r="A62" s="319" t="s">
        <v>544</v>
      </c>
      <c r="B62" s="320" t="s">
        <v>670</v>
      </c>
      <c r="C62" s="428" t="s">
        <v>236</v>
      </c>
      <c r="D62" s="428" t="s">
        <v>708</v>
      </c>
      <c r="E62" s="321" t="s">
        <v>708</v>
      </c>
      <c r="F62" s="428" t="s">
        <v>24</v>
      </c>
      <c r="G62" s="320" t="s">
        <v>742</v>
      </c>
      <c r="H62" s="321" t="s">
        <v>46</v>
      </c>
      <c r="I62" s="332">
        <v>44454</v>
      </c>
      <c r="J62" s="428"/>
      <c r="K62" s="332" t="s">
        <v>370</v>
      </c>
      <c r="L62" s="339">
        <v>44440</v>
      </c>
      <c r="M62" s="332">
        <v>44440</v>
      </c>
      <c r="N62" s="339">
        <v>44455</v>
      </c>
      <c r="O62" s="332">
        <v>44455</v>
      </c>
      <c r="P62" s="343" t="e">
        <f>O62-K62</f>
        <v>#VALUE!</v>
      </c>
      <c r="Q62" s="371">
        <f>N62-L62</f>
        <v>15</v>
      </c>
      <c r="R62" s="343">
        <f>O62-M62</f>
        <v>15</v>
      </c>
      <c r="S62" s="321"/>
      <c r="T62" s="332">
        <v>44461</v>
      </c>
      <c r="U62" s="332">
        <v>44486</v>
      </c>
      <c r="V62" s="343">
        <v>1</v>
      </c>
      <c r="W62" s="322">
        <f>((U62-T62)/7)/4.3</f>
        <v>0.83056478405315626</v>
      </c>
      <c r="X62" s="322"/>
      <c r="Y62" s="321"/>
      <c r="Z62" s="322" t="s">
        <v>370</v>
      </c>
      <c r="AA62" s="323">
        <v>27626.400000000001</v>
      </c>
      <c r="AB62" s="211">
        <v>11493</v>
      </c>
      <c r="AC62" s="211">
        <v>16133.4</v>
      </c>
      <c r="AD62" s="211">
        <v>0</v>
      </c>
      <c r="AE62" s="211">
        <v>0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3"/>
      <c r="AP62" s="47"/>
      <c r="AQ62" s="53">
        <f>SUM(AB62:AP62)</f>
        <v>27626.400000000001</v>
      </c>
      <c r="AR62" s="51"/>
      <c r="AS62" s="359">
        <f>AQ62-AA62</f>
        <v>0</v>
      </c>
      <c r="AU62" s="55"/>
    </row>
    <row r="63" spans="1:47" s="489" customFormat="1" ht="15.75" x14ac:dyDescent="0.25">
      <c r="A63" s="111" t="s">
        <v>208</v>
      </c>
      <c r="B63" s="112" t="s">
        <v>480</v>
      </c>
      <c r="C63" s="423" t="s">
        <v>823</v>
      </c>
      <c r="D63" s="423" t="s">
        <v>708</v>
      </c>
      <c r="E63" s="87" t="s">
        <v>402</v>
      </c>
      <c r="F63" s="434" t="s">
        <v>890</v>
      </c>
      <c r="G63" s="61" t="s">
        <v>694</v>
      </c>
      <c r="H63" s="87" t="s">
        <v>46</v>
      </c>
      <c r="I63" s="329">
        <v>44575</v>
      </c>
      <c r="J63" s="423"/>
      <c r="K63" s="329" t="s">
        <v>370</v>
      </c>
      <c r="L63" s="87">
        <v>44519</v>
      </c>
      <c r="M63" s="329">
        <v>44519</v>
      </c>
      <c r="N63" s="298">
        <v>44567</v>
      </c>
      <c r="O63" s="329">
        <v>44606</v>
      </c>
      <c r="P63" s="346" t="e">
        <f t="shared" ref="P63:P76" si="29">O63-K63</f>
        <v>#VALUE!</v>
      </c>
      <c r="Q63" s="50">
        <f t="shared" ref="Q63:R76" si="30">N63-L63</f>
        <v>48</v>
      </c>
      <c r="R63" s="346">
        <f t="shared" si="30"/>
        <v>87</v>
      </c>
      <c r="S63" s="87" t="s">
        <v>370</v>
      </c>
      <c r="T63" s="329">
        <v>44613</v>
      </c>
      <c r="U63" s="87">
        <v>44895</v>
      </c>
      <c r="V63" s="50">
        <v>9.0000000000000497</v>
      </c>
      <c r="W63" s="88">
        <f t="shared" ref="W63:W76" si="31">((U63-T63)/7)/4.3</f>
        <v>9.368770764119601</v>
      </c>
      <c r="X63" s="88"/>
      <c r="Y63" s="87"/>
      <c r="Z63" s="88"/>
      <c r="AA63" s="58">
        <v>2200000</v>
      </c>
      <c r="AB63" s="211">
        <v>0</v>
      </c>
      <c r="AC63" s="211">
        <v>0</v>
      </c>
      <c r="AD63" s="211">
        <v>212179</v>
      </c>
      <c r="AE63" s="211">
        <v>291481.13999999996</v>
      </c>
      <c r="AF63" s="275">
        <v>250000</v>
      </c>
      <c r="AG63" s="275">
        <v>275000</v>
      </c>
      <c r="AH63" s="275">
        <v>300000</v>
      </c>
      <c r="AI63" s="275">
        <v>250000</v>
      </c>
      <c r="AJ63" s="275">
        <v>250000</v>
      </c>
      <c r="AK63" s="275">
        <v>250000</v>
      </c>
      <c r="AL63" s="275">
        <v>187821</v>
      </c>
      <c r="AM63" s="58"/>
      <c r="AN63" s="58"/>
      <c r="AO63" s="58"/>
      <c r="AP63" s="47"/>
      <c r="AQ63" s="58">
        <f t="shared" ref="AQ63:AQ68" si="32">SUM(AB63:AP63)</f>
        <v>2266481.1399999997</v>
      </c>
      <c r="AR63" s="51"/>
      <c r="AS63" s="359">
        <f t="shared" si="10"/>
        <v>66481.139999999665</v>
      </c>
    </row>
    <row r="64" spans="1:47" s="489" customFormat="1" ht="15.75" x14ac:dyDescent="0.25">
      <c r="A64" s="111" t="s">
        <v>727</v>
      </c>
      <c r="B64" s="112" t="s">
        <v>653</v>
      </c>
      <c r="C64" s="423" t="s">
        <v>828</v>
      </c>
      <c r="D64" s="423" t="s">
        <v>708</v>
      </c>
      <c r="E64" s="87" t="s">
        <v>633</v>
      </c>
      <c r="F64" s="434" t="s">
        <v>890</v>
      </c>
      <c r="G64" s="61"/>
      <c r="H64" s="87" t="s">
        <v>46</v>
      </c>
      <c r="I64" s="329">
        <v>44588</v>
      </c>
      <c r="J64" s="423"/>
      <c r="K64" s="329">
        <v>44575</v>
      </c>
      <c r="L64" s="87">
        <v>44543</v>
      </c>
      <c r="M64" s="329">
        <v>44575</v>
      </c>
      <c r="N64" s="298">
        <v>44574</v>
      </c>
      <c r="O64" s="329">
        <v>44582</v>
      </c>
      <c r="P64" s="346">
        <f t="shared" si="29"/>
        <v>7</v>
      </c>
      <c r="Q64" s="50">
        <f t="shared" si="30"/>
        <v>31</v>
      </c>
      <c r="R64" s="346">
        <f t="shared" si="30"/>
        <v>7</v>
      </c>
      <c r="S64" s="87" t="s">
        <v>370</v>
      </c>
      <c r="T64" s="329">
        <v>44606</v>
      </c>
      <c r="U64" s="87">
        <v>44792</v>
      </c>
      <c r="V64" s="50">
        <v>8.0000000000000977</v>
      </c>
      <c r="W64" s="88">
        <f t="shared" si="31"/>
        <v>6.1794019933554827</v>
      </c>
      <c r="X64" s="88"/>
      <c r="Y64" s="87"/>
      <c r="Z64" s="88"/>
      <c r="AA64" s="58">
        <v>1200000</v>
      </c>
      <c r="AB64" s="211">
        <v>0</v>
      </c>
      <c r="AC64" s="211">
        <v>0</v>
      </c>
      <c r="AD64" s="211">
        <v>240339.47999999998</v>
      </c>
      <c r="AE64" s="211">
        <v>284536.77</v>
      </c>
      <c r="AF64" s="275">
        <v>150000</v>
      </c>
      <c r="AG64" s="275">
        <v>150000</v>
      </c>
      <c r="AH64" s="275">
        <v>200000</v>
      </c>
      <c r="AI64" s="275">
        <v>200000</v>
      </c>
      <c r="AJ64" s="275">
        <v>100000</v>
      </c>
      <c r="AK64" s="275">
        <v>84660.52</v>
      </c>
      <c r="AL64" s="58"/>
      <c r="AM64" s="58"/>
      <c r="AN64" s="58"/>
      <c r="AO64" s="58"/>
      <c r="AP64" s="47"/>
      <c r="AQ64" s="58">
        <f t="shared" si="32"/>
        <v>1409536.77</v>
      </c>
      <c r="AR64" s="51"/>
      <c r="AS64" s="359">
        <f t="shared" si="10"/>
        <v>209536.77000000002</v>
      </c>
    </row>
    <row r="65" spans="1:47" s="36" customFormat="1" ht="15.75" x14ac:dyDescent="0.25">
      <c r="A65" s="374" t="s">
        <v>729</v>
      </c>
      <c r="B65" s="374" t="s">
        <v>730</v>
      </c>
      <c r="C65" s="422" t="s">
        <v>828</v>
      </c>
      <c r="D65" s="423" t="s">
        <v>708</v>
      </c>
      <c r="E65" s="52" t="s">
        <v>633</v>
      </c>
      <c r="F65" s="422" t="s">
        <v>890</v>
      </c>
      <c r="G65" s="35"/>
      <c r="H65" s="87" t="s">
        <v>46</v>
      </c>
      <c r="I65" s="52" t="s">
        <v>320</v>
      </c>
      <c r="J65" s="422"/>
      <c r="K65" s="329">
        <v>44575</v>
      </c>
      <c r="L65" s="87">
        <v>44560</v>
      </c>
      <c r="M65" s="329">
        <v>44608</v>
      </c>
      <c r="N65" s="87">
        <v>44636</v>
      </c>
      <c r="O65" s="486">
        <v>44643</v>
      </c>
      <c r="P65" s="88">
        <f t="shared" si="29"/>
        <v>68</v>
      </c>
      <c r="Q65" s="50">
        <f t="shared" si="30"/>
        <v>76</v>
      </c>
      <c r="R65" s="50">
        <f t="shared" si="30"/>
        <v>35</v>
      </c>
      <c r="S65" s="52" t="s">
        <v>370</v>
      </c>
      <c r="T65" s="376">
        <f>O65+29</f>
        <v>44672</v>
      </c>
      <c r="U65" s="276">
        <f>T65+(4*4.3*7)</f>
        <v>44792.4</v>
      </c>
      <c r="V65" s="50">
        <v>4.0000000000000488</v>
      </c>
      <c r="W65" s="50">
        <f t="shared" si="31"/>
        <v>4.0000000000000488</v>
      </c>
      <c r="X65" s="50"/>
      <c r="Y65" s="52"/>
      <c r="Z65" s="50"/>
      <c r="AA65" s="53">
        <v>350000</v>
      </c>
      <c r="AB65" s="211">
        <v>0</v>
      </c>
      <c r="AC65" s="211">
        <v>0</v>
      </c>
      <c r="AD65" s="211">
        <v>0</v>
      </c>
      <c r="AE65" s="211">
        <v>0</v>
      </c>
      <c r="AF65" s="275">
        <v>75000</v>
      </c>
      <c r="AG65" s="275">
        <v>100000</v>
      </c>
      <c r="AH65" s="275">
        <v>100000</v>
      </c>
      <c r="AI65" s="275">
        <v>25000</v>
      </c>
      <c r="AJ65" s="58"/>
      <c r="AK65" s="58"/>
      <c r="AL65" s="58"/>
      <c r="AM65" s="58"/>
      <c r="AN65" s="58"/>
      <c r="AO65" s="53"/>
      <c r="AP65" s="47"/>
      <c r="AQ65" s="53">
        <f t="shared" si="32"/>
        <v>300000</v>
      </c>
      <c r="AR65" s="51"/>
      <c r="AS65" s="359">
        <f t="shared" si="10"/>
        <v>-50000</v>
      </c>
      <c r="AU65" s="55"/>
    </row>
    <row r="66" spans="1:47" s="489" customFormat="1" ht="15.75" x14ac:dyDescent="0.25">
      <c r="A66" s="113" t="s">
        <v>150</v>
      </c>
      <c r="B66" s="113" t="s">
        <v>151</v>
      </c>
      <c r="C66" s="426" t="s">
        <v>820</v>
      </c>
      <c r="D66" s="423" t="s">
        <v>708</v>
      </c>
      <c r="E66" s="87" t="s">
        <v>704</v>
      </c>
      <c r="F66" s="435" t="s">
        <v>892</v>
      </c>
      <c r="G66" s="389" t="s">
        <v>709</v>
      </c>
      <c r="H66" s="87" t="s">
        <v>46</v>
      </c>
      <c r="I66" s="329">
        <v>44783</v>
      </c>
      <c r="J66" s="426"/>
      <c r="K66" s="329" t="s">
        <v>370</v>
      </c>
      <c r="L66" s="87">
        <v>44369</v>
      </c>
      <c r="M66" s="329">
        <v>44369</v>
      </c>
      <c r="N66" s="298">
        <v>44509</v>
      </c>
      <c r="O66" s="329">
        <v>44509</v>
      </c>
      <c r="P66" s="346" t="e">
        <f t="shared" si="29"/>
        <v>#VALUE!</v>
      </c>
      <c r="Q66" s="344">
        <f t="shared" si="30"/>
        <v>140</v>
      </c>
      <c r="R66" s="346">
        <f t="shared" si="30"/>
        <v>140</v>
      </c>
      <c r="S66" s="87" t="s">
        <v>370</v>
      </c>
      <c r="T66" s="329">
        <v>44517</v>
      </c>
      <c r="U66" s="87">
        <v>44713</v>
      </c>
      <c r="V66" s="50">
        <v>7</v>
      </c>
      <c r="W66" s="88">
        <f t="shared" si="31"/>
        <v>6.5116279069767442</v>
      </c>
      <c r="X66" s="88"/>
      <c r="Y66" s="87"/>
      <c r="Z66" s="88" t="s">
        <v>370</v>
      </c>
      <c r="AA66" s="181">
        <v>1910049.56</v>
      </c>
      <c r="AB66" s="211">
        <v>892016.83</v>
      </c>
      <c r="AC66" s="211">
        <v>304883.09000000003</v>
      </c>
      <c r="AD66" s="211">
        <v>284226.25</v>
      </c>
      <c r="AE66" s="211">
        <v>241178.58000000002</v>
      </c>
      <c r="AF66" s="275">
        <v>128923.39</v>
      </c>
      <c r="AG66" s="58"/>
      <c r="AH66" s="58"/>
      <c r="AI66" s="58"/>
      <c r="AJ66" s="58"/>
      <c r="AK66" s="58"/>
      <c r="AL66" s="58"/>
      <c r="AM66" s="58"/>
      <c r="AN66" s="58"/>
      <c r="AO66" s="58"/>
      <c r="AP66" s="47"/>
      <c r="AQ66" s="58">
        <f t="shared" si="32"/>
        <v>1851228.14</v>
      </c>
      <c r="AR66" s="51"/>
      <c r="AS66" s="359">
        <f>AQ66-AA66</f>
        <v>-58821.420000000158</v>
      </c>
    </row>
    <row r="67" spans="1:47" s="489" customFormat="1" ht="15.75" x14ac:dyDescent="0.25">
      <c r="A67" s="113" t="s">
        <v>153</v>
      </c>
      <c r="B67" s="113" t="s">
        <v>424</v>
      </c>
      <c r="C67" s="394" t="s">
        <v>820</v>
      </c>
      <c r="D67" s="423" t="s">
        <v>708</v>
      </c>
      <c r="E67" s="406" t="s">
        <v>704</v>
      </c>
      <c r="F67" s="406" t="s">
        <v>892</v>
      </c>
      <c r="G67" s="407" t="s">
        <v>710</v>
      </c>
      <c r="H67" s="87" t="s">
        <v>46</v>
      </c>
      <c r="I67" s="329">
        <v>44783</v>
      </c>
      <c r="J67" s="394"/>
      <c r="K67" s="329" t="s">
        <v>370</v>
      </c>
      <c r="L67" s="87">
        <v>44551</v>
      </c>
      <c r="M67" s="329">
        <v>44543</v>
      </c>
      <c r="N67" s="298">
        <v>44588</v>
      </c>
      <c r="O67" s="329">
        <v>44585</v>
      </c>
      <c r="P67" s="346" t="e">
        <f t="shared" si="29"/>
        <v>#VALUE!</v>
      </c>
      <c r="Q67" s="344">
        <f t="shared" si="30"/>
        <v>37</v>
      </c>
      <c r="R67" s="346">
        <f t="shared" si="30"/>
        <v>42</v>
      </c>
      <c r="S67" s="87" t="s">
        <v>370</v>
      </c>
      <c r="T67" s="329">
        <v>44599</v>
      </c>
      <c r="U67" s="87">
        <f>T67+145</f>
        <v>44744</v>
      </c>
      <c r="V67" s="50">
        <v>3</v>
      </c>
      <c r="W67" s="88">
        <f t="shared" si="31"/>
        <v>4.8172757475083063</v>
      </c>
      <c r="X67" s="88"/>
      <c r="Y67" s="87"/>
      <c r="Z67" s="88" t="s">
        <v>370</v>
      </c>
      <c r="AA67" s="181">
        <v>288979.20000000001</v>
      </c>
      <c r="AB67" s="211">
        <v>17537.689999999999</v>
      </c>
      <c r="AC67" s="211">
        <v>0</v>
      </c>
      <c r="AD67" s="211">
        <v>0</v>
      </c>
      <c r="AE67" s="211">
        <v>171149.96000000002</v>
      </c>
      <c r="AF67" s="275">
        <v>95000</v>
      </c>
      <c r="AG67" s="275">
        <v>76441.509999999995</v>
      </c>
      <c r="AH67" s="58"/>
      <c r="AI67" s="58"/>
      <c r="AJ67" s="58"/>
      <c r="AK67" s="58"/>
      <c r="AL67" s="58"/>
      <c r="AM67" s="58"/>
      <c r="AN67" s="58"/>
      <c r="AO67" s="58"/>
      <c r="AP67" s="47"/>
      <c r="AQ67" s="58">
        <f t="shared" si="32"/>
        <v>360129.16000000003</v>
      </c>
      <c r="AR67" s="51"/>
      <c r="AS67" s="359">
        <f t="shared" si="10"/>
        <v>71149.960000000021</v>
      </c>
      <c r="AU67" s="218"/>
    </row>
    <row r="68" spans="1:47" s="489" customFormat="1" ht="15.75" x14ac:dyDescent="0.25">
      <c r="A68" s="113" t="s">
        <v>155</v>
      </c>
      <c r="B68" s="114" t="s">
        <v>426</v>
      </c>
      <c r="C68" s="423" t="s">
        <v>820</v>
      </c>
      <c r="D68" s="423" t="s">
        <v>708</v>
      </c>
      <c r="E68" s="87" t="s">
        <v>704</v>
      </c>
      <c r="F68" s="406" t="s">
        <v>892</v>
      </c>
      <c r="G68" s="65" t="s">
        <v>711</v>
      </c>
      <c r="H68" s="87" t="s">
        <v>46</v>
      </c>
      <c r="I68" s="329">
        <v>44783</v>
      </c>
      <c r="J68" s="423"/>
      <c r="K68" s="329" t="s">
        <v>370</v>
      </c>
      <c r="L68" s="87">
        <v>44551</v>
      </c>
      <c r="M68" s="329">
        <v>44559</v>
      </c>
      <c r="N68" s="298">
        <v>44596</v>
      </c>
      <c r="O68" s="329">
        <v>44585</v>
      </c>
      <c r="P68" s="346" t="e">
        <f t="shared" si="29"/>
        <v>#VALUE!</v>
      </c>
      <c r="Q68" s="344">
        <f t="shared" si="30"/>
        <v>45</v>
      </c>
      <c r="R68" s="346">
        <f t="shared" si="30"/>
        <v>26</v>
      </c>
      <c r="S68" s="87" t="s">
        <v>370</v>
      </c>
      <c r="T68" s="329">
        <v>44599</v>
      </c>
      <c r="U68" s="87">
        <f>T68+145</f>
        <v>44744</v>
      </c>
      <c r="V68" s="50">
        <v>3</v>
      </c>
      <c r="W68" s="88">
        <f t="shared" si="31"/>
        <v>4.8172757475083063</v>
      </c>
      <c r="X68" s="88"/>
      <c r="Y68" s="87"/>
      <c r="Z68" s="88" t="s">
        <v>370</v>
      </c>
      <c r="AA68" s="181">
        <v>376822.32</v>
      </c>
      <c r="AB68" s="211">
        <v>20124</v>
      </c>
      <c r="AC68" s="211">
        <v>0</v>
      </c>
      <c r="AD68" s="211">
        <v>0</v>
      </c>
      <c r="AE68" s="211">
        <v>203849.39</v>
      </c>
      <c r="AF68" s="275">
        <v>100000</v>
      </c>
      <c r="AG68" s="275">
        <v>100000</v>
      </c>
      <c r="AH68" s="275">
        <v>31698.32</v>
      </c>
      <c r="AI68" s="58"/>
      <c r="AJ68" s="58"/>
      <c r="AK68" s="58"/>
      <c r="AL68" s="58"/>
      <c r="AM68" s="58"/>
      <c r="AN68" s="58"/>
      <c r="AO68" s="58"/>
      <c r="AP68" s="47"/>
      <c r="AQ68" s="58">
        <f t="shared" si="32"/>
        <v>455671.71</v>
      </c>
      <c r="AR68" s="51"/>
      <c r="AS68" s="359">
        <f t="shared" si="10"/>
        <v>78849.390000000014</v>
      </c>
    </row>
    <row r="69" spans="1:47" s="489" customFormat="1" ht="15.75" x14ac:dyDescent="0.25">
      <c r="A69" s="111" t="s">
        <v>795</v>
      </c>
      <c r="B69" s="112" t="s">
        <v>804</v>
      </c>
      <c r="C69" s="422" t="s">
        <v>820</v>
      </c>
      <c r="D69" s="423" t="s">
        <v>708</v>
      </c>
      <c r="E69" s="87" t="s">
        <v>704</v>
      </c>
      <c r="F69" s="422" t="s">
        <v>892</v>
      </c>
      <c r="G69" s="65" t="s">
        <v>711</v>
      </c>
      <c r="H69" s="87" t="s">
        <v>46</v>
      </c>
      <c r="I69" s="329" t="s">
        <v>24</v>
      </c>
      <c r="J69" s="422"/>
      <c r="K69" s="329" t="s">
        <v>370</v>
      </c>
      <c r="L69" s="329" t="s">
        <v>24</v>
      </c>
      <c r="M69" s="329" t="s">
        <v>24</v>
      </c>
      <c r="N69" s="329" t="s">
        <v>24</v>
      </c>
      <c r="O69" s="329" t="s">
        <v>24</v>
      </c>
      <c r="P69" s="346" t="s">
        <v>24</v>
      </c>
      <c r="Q69" s="329" t="s">
        <v>24</v>
      </c>
      <c r="R69" s="329" t="s">
        <v>24</v>
      </c>
      <c r="S69" s="329" t="s">
        <v>24</v>
      </c>
      <c r="T69" s="329" t="s">
        <v>24</v>
      </c>
      <c r="U69" s="346" t="s">
        <v>24</v>
      </c>
      <c r="V69" s="333" t="s">
        <v>24</v>
      </c>
      <c r="W69" s="346" t="s">
        <v>24</v>
      </c>
      <c r="X69" s="346" t="s">
        <v>24</v>
      </c>
      <c r="Y69" s="329" t="s">
        <v>24</v>
      </c>
      <c r="Z69" s="346" t="s">
        <v>24</v>
      </c>
      <c r="AA69" s="181"/>
      <c r="AB69" s="211">
        <v>0</v>
      </c>
      <c r="AC69" s="211">
        <v>0</v>
      </c>
      <c r="AD69" s="211">
        <v>0</v>
      </c>
      <c r="AE69" s="211">
        <v>0</v>
      </c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47"/>
      <c r="AQ69" s="58">
        <f>SUM(AB69:AP69)</f>
        <v>0</v>
      </c>
      <c r="AR69" s="51"/>
      <c r="AS69" s="359">
        <f>AQ69-AA69</f>
        <v>0</v>
      </c>
    </row>
    <row r="70" spans="1:47" s="36" customFormat="1" ht="15.75" x14ac:dyDescent="0.25">
      <c r="A70" s="374" t="s">
        <v>143</v>
      </c>
      <c r="B70" s="375" t="s">
        <v>145</v>
      </c>
      <c r="C70" s="434" t="s">
        <v>835</v>
      </c>
      <c r="D70" s="423" t="s">
        <v>708</v>
      </c>
      <c r="E70" s="52" t="s">
        <v>704</v>
      </c>
      <c r="F70" s="422" t="s">
        <v>892</v>
      </c>
      <c r="G70" s="272" t="s">
        <v>146</v>
      </c>
      <c r="H70" s="52" t="s">
        <v>623</v>
      </c>
      <c r="I70" s="52" t="s">
        <v>320</v>
      </c>
      <c r="J70" s="434"/>
      <c r="K70" s="330" t="s">
        <v>370</v>
      </c>
      <c r="L70" s="52">
        <v>44470</v>
      </c>
      <c r="M70" s="87">
        <v>44470</v>
      </c>
      <c r="N70" s="87">
        <v>44575</v>
      </c>
      <c r="O70" s="87">
        <v>44866</v>
      </c>
      <c r="P70" s="88" t="e">
        <f t="shared" si="29"/>
        <v>#VALUE!</v>
      </c>
      <c r="Q70" s="50">
        <f t="shared" si="30"/>
        <v>105</v>
      </c>
      <c r="R70" s="50">
        <f t="shared" si="30"/>
        <v>396</v>
      </c>
      <c r="S70" s="52" t="s">
        <v>320</v>
      </c>
      <c r="T70" s="376">
        <f>O70+7</f>
        <v>44873</v>
      </c>
      <c r="U70" s="52">
        <f>T70+(9*4.3*7)</f>
        <v>45143.9</v>
      </c>
      <c r="V70" s="88">
        <v>9.0000000000000497</v>
      </c>
      <c r="W70" s="50">
        <f t="shared" si="31"/>
        <v>9.0000000000000497</v>
      </c>
      <c r="X70" s="50"/>
      <c r="Y70" s="87"/>
      <c r="Z70" s="88"/>
      <c r="AA70" s="58">
        <v>600000</v>
      </c>
      <c r="AB70" s="211">
        <v>0</v>
      </c>
      <c r="AC70" s="211">
        <v>0</v>
      </c>
      <c r="AD70" s="211">
        <v>0</v>
      </c>
      <c r="AE70" s="211">
        <v>63350.47</v>
      </c>
      <c r="AF70" s="275">
        <v>80000</v>
      </c>
      <c r="AG70" s="275">
        <v>80000</v>
      </c>
      <c r="AH70" s="275">
        <v>80000</v>
      </c>
      <c r="AI70" s="275">
        <v>80000</v>
      </c>
      <c r="AJ70" s="275">
        <v>80000</v>
      </c>
      <c r="AK70" s="275">
        <v>80000</v>
      </c>
      <c r="AL70" s="275">
        <f>45000+75000</f>
        <v>120000</v>
      </c>
      <c r="AM70" s="58"/>
      <c r="AN70" s="58"/>
      <c r="AO70" s="53"/>
      <c r="AP70" s="47"/>
      <c r="AQ70" s="53">
        <f t="shared" ref="AQ70:AQ76" si="33">SUM(AB70:AP70)</f>
        <v>663350.47</v>
      </c>
      <c r="AR70" s="51"/>
      <c r="AS70" s="359">
        <f t="shared" si="10"/>
        <v>63350.469999999972</v>
      </c>
    </row>
    <row r="71" spans="1:47" s="36" customFormat="1" ht="15.75" x14ac:dyDescent="0.25">
      <c r="A71" s="374" t="s">
        <v>394</v>
      </c>
      <c r="B71" s="375" t="s">
        <v>763</v>
      </c>
      <c r="C71" s="87" t="s">
        <v>836</v>
      </c>
      <c r="D71" s="423" t="s">
        <v>708</v>
      </c>
      <c r="E71" s="52" t="s">
        <v>704</v>
      </c>
      <c r="F71" s="422" t="s">
        <v>892</v>
      </c>
      <c r="G71" s="57" t="s">
        <v>149</v>
      </c>
      <c r="H71" s="52" t="s">
        <v>623</v>
      </c>
      <c r="I71" s="52" t="s">
        <v>320</v>
      </c>
      <c r="J71" s="87"/>
      <c r="K71" s="299">
        <v>44664</v>
      </c>
      <c r="L71" s="52">
        <v>44491</v>
      </c>
      <c r="M71" s="87">
        <v>44470</v>
      </c>
      <c r="N71" s="87">
        <v>44703</v>
      </c>
      <c r="O71" s="87">
        <v>44866</v>
      </c>
      <c r="P71" s="88">
        <f t="shared" si="29"/>
        <v>202</v>
      </c>
      <c r="Q71" s="50">
        <f>N71-M71</f>
        <v>233</v>
      </c>
      <c r="R71" s="50">
        <f t="shared" si="30"/>
        <v>396</v>
      </c>
      <c r="S71" s="52" t="s">
        <v>320</v>
      </c>
      <c r="T71" s="376">
        <f>O71+7</f>
        <v>44873</v>
      </c>
      <c r="U71" s="52">
        <f>T71+(9*4.3*7)</f>
        <v>45143.9</v>
      </c>
      <c r="V71" s="50">
        <v>9.0000000000000497</v>
      </c>
      <c r="W71" s="50">
        <f t="shared" si="31"/>
        <v>9.0000000000000497</v>
      </c>
      <c r="X71" s="50"/>
      <c r="Y71" s="52"/>
      <c r="Z71" s="50"/>
      <c r="AA71" s="53">
        <v>750000</v>
      </c>
      <c r="AB71" s="211">
        <v>0</v>
      </c>
      <c r="AC71" s="211">
        <v>0</v>
      </c>
      <c r="AD71" s="211">
        <v>0</v>
      </c>
      <c r="AE71" s="211">
        <v>0</v>
      </c>
      <c r="AF71" s="275">
        <v>90000</v>
      </c>
      <c r="AG71" s="275">
        <v>90000</v>
      </c>
      <c r="AH71" s="275">
        <v>90000</v>
      </c>
      <c r="AI71" s="275">
        <v>90000</v>
      </c>
      <c r="AJ71" s="275">
        <v>90000</v>
      </c>
      <c r="AK71" s="275">
        <v>90000</v>
      </c>
      <c r="AL71" s="275">
        <v>65000</v>
      </c>
      <c r="AM71" s="275">
        <f>50000+95000</f>
        <v>145000</v>
      </c>
      <c r="AN71" s="58"/>
      <c r="AO71" s="53"/>
      <c r="AP71" s="47"/>
      <c r="AQ71" s="53">
        <f t="shared" si="33"/>
        <v>750000</v>
      </c>
      <c r="AR71" s="51"/>
      <c r="AS71" s="359">
        <f t="shared" si="10"/>
        <v>0</v>
      </c>
      <c r="AU71" s="55"/>
    </row>
    <row r="72" spans="1:47" s="36" customFormat="1" ht="15.75" x14ac:dyDescent="0.25">
      <c r="A72" s="374" t="s">
        <v>735</v>
      </c>
      <c r="B72" s="375" t="s">
        <v>736</v>
      </c>
      <c r="C72" s="432" t="s">
        <v>835</v>
      </c>
      <c r="D72" s="423" t="s">
        <v>708</v>
      </c>
      <c r="E72" s="52" t="s">
        <v>704</v>
      </c>
      <c r="F72" s="422" t="s">
        <v>892</v>
      </c>
      <c r="G72" s="57" t="s">
        <v>149</v>
      </c>
      <c r="H72" s="52" t="s">
        <v>623</v>
      </c>
      <c r="I72" s="52" t="s">
        <v>320</v>
      </c>
      <c r="J72" s="432"/>
      <c r="K72" s="330" t="s">
        <v>370</v>
      </c>
      <c r="L72" s="52">
        <v>44596</v>
      </c>
      <c r="M72" s="87">
        <v>44470</v>
      </c>
      <c r="N72" s="87">
        <v>44703</v>
      </c>
      <c r="O72" s="87">
        <v>44866</v>
      </c>
      <c r="P72" s="88" t="e">
        <f t="shared" si="29"/>
        <v>#VALUE!</v>
      </c>
      <c r="Q72" s="50">
        <f>N72-M72</f>
        <v>233</v>
      </c>
      <c r="R72" s="50">
        <f t="shared" si="30"/>
        <v>396</v>
      </c>
      <c r="S72" s="52" t="s">
        <v>320</v>
      </c>
      <c r="T72" s="376">
        <f>O72+7</f>
        <v>44873</v>
      </c>
      <c r="U72" s="52">
        <f>T72+(6*4.3*7)</f>
        <v>45053.599999999999</v>
      </c>
      <c r="V72" s="50">
        <v>5.999999999999952</v>
      </c>
      <c r="W72" s="50">
        <f t="shared" si="31"/>
        <v>5.999999999999952</v>
      </c>
      <c r="X72" s="50"/>
      <c r="Y72" s="52"/>
      <c r="Z72" s="50"/>
      <c r="AA72" s="53">
        <v>600000</v>
      </c>
      <c r="AB72" s="211">
        <v>0</v>
      </c>
      <c r="AC72" s="211">
        <v>0</v>
      </c>
      <c r="AD72" s="211">
        <v>0</v>
      </c>
      <c r="AE72" s="211">
        <v>78765.179999999993</v>
      </c>
      <c r="AF72" s="58"/>
      <c r="AG72" s="58"/>
      <c r="AH72" s="275">
        <v>25000</v>
      </c>
      <c r="AI72" s="275">
        <v>50000</v>
      </c>
      <c r="AJ72" s="275">
        <v>80000</v>
      </c>
      <c r="AK72" s="275">
        <v>80000</v>
      </c>
      <c r="AL72" s="275">
        <v>80000</v>
      </c>
      <c r="AM72" s="275">
        <v>80000</v>
      </c>
      <c r="AN72" s="275">
        <v>80000</v>
      </c>
      <c r="AO72" s="275">
        <v>125000</v>
      </c>
      <c r="AP72" s="47"/>
      <c r="AQ72" s="53">
        <f t="shared" si="33"/>
        <v>678765.17999999993</v>
      </c>
      <c r="AR72" s="51"/>
      <c r="AS72" s="359">
        <f t="shared" si="10"/>
        <v>78765.179999999935</v>
      </c>
      <c r="AU72" s="55"/>
    </row>
    <row r="73" spans="1:47" s="36" customFormat="1" ht="15.75" x14ac:dyDescent="0.25">
      <c r="A73" s="374" t="s">
        <v>737</v>
      </c>
      <c r="B73" s="375" t="s">
        <v>740</v>
      </c>
      <c r="C73" s="432" t="s">
        <v>835</v>
      </c>
      <c r="D73" s="423" t="s">
        <v>708</v>
      </c>
      <c r="E73" s="52" t="s">
        <v>704</v>
      </c>
      <c r="F73" s="422" t="s">
        <v>892</v>
      </c>
      <c r="G73" s="57" t="s">
        <v>149</v>
      </c>
      <c r="H73" s="52" t="s">
        <v>623</v>
      </c>
      <c r="I73" s="52" t="s">
        <v>320</v>
      </c>
      <c r="J73" s="432"/>
      <c r="K73" s="330" t="s">
        <v>370</v>
      </c>
      <c r="L73" s="52">
        <v>44596</v>
      </c>
      <c r="M73" s="87">
        <v>44835</v>
      </c>
      <c r="N73" s="87">
        <v>44686</v>
      </c>
      <c r="O73" s="87">
        <v>44866</v>
      </c>
      <c r="P73" s="88" t="e">
        <f t="shared" si="29"/>
        <v>#VALUE!</v>
      </c>
      <c r="Q73" s="50">
        <f t="shared" ref="Q73:Q76" si="34">N73-L73</f>
        <v>90</v>
      </c>
      <c r="R73" s="50">
        <f t="shared" si="30"/>
        <v>31</v>
      </c>
      <c r="S73" s="52" t="s">
        <v>320</v>
      </c>
      <c r="T73" s="376">
        <f>O73+7</f>
        <v>44873</v>
      </c>
      <c r="U73" s="52">
        <f>T73+(3*4.3*7)</f>
        <v>44963.3</v>
      </c>
      <c r="V73" s="50">
        <v>9.0000000000000497</v>
      </c>
      <c r="W73" s="50">
        <f t="shared" si="31"/>
        <v>3.0000000000000968</v>
      </c>
      <c r="X73" s="50"/>
      <c r="Y73" s="52"/>
      <c r="Z73" s="50"/>
      <c r="AA73" s="53"/>
      <c r="AB73" s="211">
        <v>0</v>
      </c>
      <c r="AC73" s="211">
        <v>0</v>
      </c>
      <c r="AD73" s="211">
        <v>0</v>
      </c>
      <c r="AE73" s="211">
        <v>0</v>
      </c>
      <c r="AF73" s="58"/>
      <c r="AG73" s="58"/>
      <c r="AH73" s="58"/>
      <c r="AI73" s="58"/>
      <c r="AJ73" s="58"/>
      <c r="AK73" s="58"/>
      <c r="AL73" s="58"/>
      <c r="AM73" s="58"/>
      <c r="AN73" s="58"/>
      <c r="AO73" s="53"/>
      <c r="AP73" s="47"/>
      <c r="AQ73" s="53">
        <f t="shared" si="33"/>
        <v>0</v>
      </c>
      <c r="AR73" s="51"/>
      <c r="AS73" s="359">
        <f t="shared" si="10"/>
        <v>0</v>
      </c>
      <c r="AU73" s="55"/>
    </row>
    <row r="74" spans="1:47" s="36" customFormat="1" ht="15.75" x14ac:dyDescent="0.25">
      <c r="A74" s="374" t="s">
        <v>738</v>
      </c>
      <c r="B74" s="375" t="s">
        <v>740</v>
      </c>
      <c r="C74" s="432" t="s">
        <v>835</v>
      </c>
      <c r="D74" s="423" t="s">
        <v>708</v>
      </c>
      <c r="E74" s="52" t="s">
        <v>704</v>
      </c>
      <c r="F74" s="422" t="s">
        <v>892</v>
      </c>
      <c r="G74" s="57" t="s">
        <v>149</v>
      </c>
      <c r="H74" s="52" t="s">
        <v>623</v>
      </c>
      <c r="I74" s="52" t="s">
        <v>320</v>
      </c>
      <c r="J74" s="432"/>
      <c r="K74" s="330" t="s">
        <v>370</v>
      </c>
      <c r="L74" s="52">
        <v>44596</v>
      </c>
      <c r="M74" s="87">
        <v>44835</v>
      </c>
      <c r="N74" s="87">
        <v>44686</v>
      </c>
      <c r="O74" s="87">
        <v>44866</v>
      </c>
      <c r="P74" s="88" t="e">
        <f t="shared" si="29"/>
        <v>#VALUE!</v>
      </c>
      <c r="Q74" s="50">
        <f t="shared" si="34"/>
        <v>90</v>
      </c>
      <c r="R74" s="50">
        <f t="shared" si="30"/>
        <v>31</v>
      </c>
      <c r="S74" s="52" t="s">
        <v>320</v>
      </c>
      <c r="T74" s="376">
        <f>O74+7</f>
        <v>44873</v>
      </c>
      <c r="U74" s="52">
        <f>T74+(3*4.3*7)</f>
        <v>44963.3</v>
      </c>
      <c r="V74" s="50">
        <v>9.0000000000000497</v>
      </c>
      <c r="W74" s="50">
        <f t="shared" si="31"/>
        <v>3.0000000000000968</v>
      </c>
      <c r="X74" s="50"/>
      <c r="Y74" s="52"/>
      <c r="Z74" s="50"/>
      <c r="AA74" s="53"/>
      <c r="AB74" s="211">
        <v>0</v>
      </c>
      <c r="AC74" s="211">
        <v>0</v>
      </c>
      <c r="AD74" s="211">
        <v>0</v>
      </c>
      <c r="AE74" s="211">
        <v>0</v>
      </c>
      <c r="AF74" s="58"/>
      <c r="AG74" s="58"/>
      <c r="AH74" s="58"/>
      <c r="AI74" s="58"/>
      <c r="AJ74" s="58"/>
      <c r="AK74" s="58"/>
      <c r="AL74" s="58"/>
      <c r="AM74" s="58"/>
      <c r="AN74" s="58"/>
      <c r="AO74" s="53"/>
      <c r="AP74" s="47"/>
      <c r="AQ74" s="53">
        <f t="shared" si="33"/>
        <v>0</v>
      </c>
      <c r="AR74" s="51"/>
      <c r="AS74" s="359">
        <f t="shared" si="10"/>
        <v>0</v>
      </c>
    </row>
    <row r="75" spans="1:47" s="36" customFormat="1" ht="15.75" x14ac:dyDescent="0.25">
      <c r="A75" s="374" t="s">
        <v>156</v>
      </c>
      <c r="B75" s="375" t="s">
        <v>157</v>
      </c>
      <c r="C75" s="87" t="s">
        <v>837</v>
      </c>
      <c r="D75" s="423" t="s">
        <v>708</v>
      </c>
      <c r="E75" s="52" t="s">
        <v>704</v>
      </c>
      <c r="F75" s="422" t="s">
        <v>892</v>
      </c>
      <c r="G75" s="57" t="s">
        <v>158</v>
      </c>
      <c r="H75" s="52" t="s">
        <v>623</v>
      </c>
      <c r="I75" s="87">
        <v>44682</v>
      </c>
      <c r="J75" s="87"/>
      <c r="K75" s="329" t="s">
        <v>370</v>
      </c>
      <c r="L75" s="52">
        <v>44497</v>
      </c>
      <c r="M75" s="298">
        <v>44362</v>
      </c>
      <c r="N75" s="298">
        <v>44547</v>
      </c>
      <c r="O75" s="87">
        <v>44712</v>
      </c>
      <c r="P75" s="88" t="e">
        <f t="shared" si="29"/>
        <v>#VALUE!</v>
      </c>
      <c r="Q75" s="50">
        <f t="shared" si="34"/>
        <v>50</v>
      </c>
      <c r="R75" s="50">
        <f t="shared" si="30"/>
        <v>350</v>
      </c>
      <c r="S75" s="52" t="s">
        <v>320</v>
      </c>
      <c r="T75" s="376">
        <v>44713</v>
      </c>
      <c r="U75" s="52">
        <f>T75+(9*4.3*7)</f>
        <v>44983.9</v>
      </c>
      <c r="V75" s="50">
        <v>9.0000000000000497</v>
      </c>
      <c r="W75" s="50">
        <f t="shared" si="31"/>
        <v>9.0000000000000497</v>
      </c>
      <c r="X75" s="50"/>
      <c r="Y75" s="52"/>
      <c r="Z75" s="50"/>
      <c r="AA75" s="53">
        <v>2000000</v>
      </c>
      <c r="AB75" s="211">
        <v>0</v>
      </c>
      <c r="AC75" s="211">
        <v>0</v>
      </c>
      <c r="AD75" s="211">
        <v>210901.5</v>
      </c>
      <c r="AE75" s="211">
        <v>0</v>
      </c>
      <c r="AF75" s="275">
        <v>125000</v>
      </c>
      <c r="AG75" s="275">
        <v>200000</v>
      </c>
      <c r="AH75" s="275">
        <v>200000</v>
      </c>
      <c r="AI75" s="275">
        <v>200000</v>
      </c>
      <c r="AJ75" s="275">
        <v>200000</v>
      </c>
      <c r="AK75" s="275">
        <v>200000</v>
      </c>
      <c r="AL75" s="275">
        <v>200000</v>
      </c>
      <c r="AM75" s="275">
        <v>200000</v>
      </c>
      <c r="AN75" s="275">
        <v>164098.5</v>
      </c>
      <c r="AO75" s="53"/>
      <c r="AP75" s="47"/>
      <c r="AQ75" s="53">
        <f t="shared" si="33"/>
        <v>1900000</v>
      </c>
      <c r="AR75" s="51"/>
      <c r="AS75" s="359">
        <f t="shared" si="10"/>
        <v>-100000</v>
      </c>
    </row>
    <row r="76" spans="1:47" s="36" customFormat="1" ht="15.75" x14ac:dyDescent="0.25">
      <c r="A76" s="374" t="s">
        <v>159</v>
      </c>
      <c r="B76" s="375" t="s">
        <v>428</v>
      </c>
      <c r="C76" s="432" t="s">
        <v>837</v>
      </c>
      <c r="D76" s="423" t="s">
        <v>708</v>
      </c>
      <c r="E76" s="52" t="s">
        <v>704</v>
      </c>
      <c r="F76" s="422" t="s">
        <v>892</v>
      </c>
      <c r="G76" s="57" t="s">
        <v>158</v>
      </c>
      <c r="H76" s="52" t="s">
        <v>623</v>
      </c>
      <c r="I76" s="87">
        <v>44682</v>
      </c>
      <c r="J76" s="432"/>
      <c r="K76" s="330" t="s">
        <v>370</v>
      </c>
      <c r="L76" s="52">
        <v>44526</v>
      </c>
      <c r="M76" s="87">
        <v>44752</v>
      </c>
      <c r="N76" s="87">
        <v>44616</v>
      </c>
      <c r="O76" s="87">
        <f>M76+60</f>
        <v>44812</v>
      </c>
      <c r="P76" s="88" t="e">
        <f t="shared" si="29"/>
        <v>#VALUE!</v>
      </c>
      <c r="Q76" s="50">
        <f t="shared" si="34"/>
        <v>90</v>
      </c>
      <c r="R76" s="50">
        <f t="shared" si="30"/>
        <v>60</v>
      </c>
      <c r="S76" s="52" t="s">
        <v>320</v>
      </c>
      <c r="T76" s="376">
        <v>44803</v>
      </c>
      <c r="U76" s="52">
        <f>T76+(6*4.3*7)</f>
        <v>44983.6</v>
      </c>
      <c r="V76" s="50">
        <v>4.0000000000000488</v>
      </c>
      <c r="W76" s="50">
        <f t="shared" si="31"/>
        <v>5.999999999999952</v>
      </c>
      <c r="X76" s="50"/>
      <c r="Y76" s="52"/>
      <c r="Z76" s="50"/>
      <c r="AA76" s="53">
        <v>550000</v>
      </c>
      <c r="AB76" s="211">
        <v>0</v>
      </c>
      <c r="AC76" s="211">
        <v>0</v>
      </c>
      <c r="AD76" s="211">
        <v>43599.5</v>
      </c>
      <c r="AE76" s="211">
        <v>0</v>
      </c>
      <c r="AF76" s="58"/>
      <c r="AG76" s="58"/>
      <c r="AH76" s="58"/>
      <c r="AI76" s="58"/>
      <c r="AJ76" s="275">
        <v>100000</v>
      </c>
      <c r="AK76" s="275">
        <v>100000</v>
      </c>
      <c r="AL76" s="275">
        <v>125000</v>
      </c>
      <c r="AM76" s="275">
        <v>100000</v>
      </c>
      <c r="AN76" s="275">
        <v>81400.5</v>
      </c>
      <c r="AO76" s="53"/>
      <c r="AP76" s="47"/>
      <c r="AQ76" s="53">
        <f t="shared" si="33"/>
        <v>550000</v>
      </c>
      <c r="AR76" s="51"/>
      <c r="AS76" s="359">
        <f t="shared" si="10"/>
        <v>0</v>
      </c>
      <c r="AU76" s="55"/>
    </row>
    <row r="77" spans="1:47" s="36" customFormat="1" ht="15.75" x14ac:dyDescent="0.25">
      <c r="A77" s="99"/>
      <c r="B77" s="100"/>
      <c r="C77" s="429"/>
      <c r="D77" s="429"/>
      <c r="E77" s="91"/>
      <c r="F77" s="429"/>
      <c r="G77" s="100"/>
      <c r="H77" s="91"/>
      <c r="I77" s="91"/>
      <c r="J77" s="429"/>
      <c r="K77" s="91"/>
      <c r="L77" s="91"/>
      <c r="M77" s="91"/>
      <c r="N77" s="91"/>
      <c r="O77" s="91"/>
      <c r="P77" s="92"/>
      <c r="Q77" s="91"/>
      <c r="R77" s="92"/>
      <c r="S77" s="91"/>
      <c r="T77" s="91"/>
      <c r="U77" s="91"/>
      <c r="V77" s="92"/>
      <c r="W77" s="91"/>
      <c r="X77" s="92"/>
      <c r="Y77" s="91"/>
      <c r="Z77" s="92"/>
      <c r="AA77" s="448">
        <f t="shared" ref="AA77:AO77" si="35">SUBTOTAL(9,AA61:AA76)</f>
        <v>13053477.48</v>
      </c>
      <c r="AB77" s="243">
        <f t="shared" si="35"/>
        <v>941171.5199999999</v>
      </c>
      <c r="AC77" s="243">
        <f t="shared" si="35"/>
        <v>321016.49000000005</v>
      </c>
      <c r="AD77" s="243">
        <f t="shared" si="35"/>
        <v>991245.73</v>
      </c>
      <c r="AE77" s="448">
        <f t="shared" si="35"/>
        <v>1481427.4299999997</v>
      </c>
      <c r="AF77" s="448">
        <f t="shared" si="35"/>
        <v>1293923.3900000001</v>
      </c>
      <c r="AG77" s="448">
        <f t="shared" si="35"/>
        <v>1331441.51</v>
      </c>
      <c r="AH77" s="448">
        <f t="shared" si="35"/>
        <v>1286698.3199999998</v>
      </c>
      <c r="AI77" s="448">
        <f t="shared" si="35"/>
        <v>1195000</v>
      </c>
      <c r="AJ77" s="448">
        <f t="shared" si="35"/>
        <v>1200000</v>
      </c>
      <c r="AK77" s="448">
        <f t="shared" si="35"/>
        <v>1144660.52</v>
      </c>
      <c r="AL77" s="448">
        <f t="shared" si="35"/>
        <v>1037821</v>
      </c>
      <c r="AM77" s="448">
        <f t="shared" si="35"/>
        <v>735000</v>
      </c>
      <c r="AN77" s="448">
        <f t="shared" si="35"/>
        <v>325499</v>
      </c>
      <c r="AO77" s="448">
        <f t="shared" si="35"/>
        <v>125000</v>
      </c>
      <c r="AP77" s="449"/>
      <c r="AQ77" s="448">
        <f>SUBTOTAL(9,AQ60:AQ76)</f>
        <v>13409904.91</v>
      </c>
      <c r="AR77" s="51"/>
      <c r="AS77" s="359">
        <f t="shared" si="10"/>
        <v>356427.4299999997</v>
      </c>
    </row>
    <row r="78" spans="1:47" s="36" customFormat="1" ht="15.75" x14ac:dyDescent="0.25">
      <c r="A78" s="381" t="s">
        <v>623</v>
      </c>
      <c r="B78" s="106"/>
      <c r="C78" s="420"/>
      <c r="D78" s="420"/>
      <c r="E78" s="102"/>
      <c r="F78" s="420"/>
      <c r="G78" s="106"/>
      <c r="H78" s="102"/>
      <c r="I78" s="102"/>
      <c r="J78" s="420"/>
      <c r="K78" s="102"/>
      <c r="L78" s="102"/>
      <c r="M78" s="276"/>
      <c r="N78" s="276"/>
      <c r="O78" s="276"/>
      <c r="P78" s="84"/>
      <c r="Q78" s="276"/>
      <c r="R78" s="84"/>
      <c r="S78" s="102"/>
      <c r="T78" s="102"/>
      <c r="U78" s="102"/>
      <c r="V78" s="84"/>
      <c r="W78" s="102"/>
      <c r="X78" s="102"/>
      <c r="Y78" s="276"/>
      <c r="Z78" s="102"/>
      <c r="AA78" s="102"/>
      <c r="AB78" s="495"/>
      <c r="AC78" s="495"/>
      <c r="AD78" s="495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47"/>
      <c r="AQ78" s="103"/>
      <c r="AR78" s="51"/>
      <c r="AS78" s="359">
        <f t="shared" si="10"/>
        <v>0</v>
      </c>
    </row>
    <row r="79" spans="1:47" s="36" customFormat="1" ht="15.75" x14ac:dyDescent="0.25">
      <c r="A79" s="113" t="s">
        <v>191</v>
      </c>
      <c r="B79" s="113" t="s">
        <v>192</v>
      </c>
      <c r="C79" s="52" t="s">
        <v>184</v>
      </c>
      <c r="D79" s="52" t="s">
        <v>45</v>
      </c>
      <c r="E79" s="52" t="s">
        <v>45</v>
      </c>
      <c r="F79" s="52" t="s">
        <v>45</v>
      </c>
      <c r="G79" s="113" t="s">
        <v>193</v>
      </c>
      <c r="H79" s="52" t="s">
        <v>623</v>
      </c>
      <c r="I79" s="52" t="s">
        <v>320</v>
      </c>
      <c r="J79" s="52"/>
      <c r="K79" s="276" t="s">
        <v>320</v>
      </c>
      <c r="L79" s="87">
        <v>44713</v>
      </c>
      <c r="M79" s="298">
        <v>44704</v>
      </c>
      <c r="N79" s="299">
        <v>44758</v>
      </c>
      <c r="O79" s="52">
        <f>M79+45</f>
        <v>44749</v>
      </c>
      <c r="P79" s="88" t="e">
        <f t="shared" ref="P79:P92" si="36">O79-K79</f>
        <v>#VALUE!</v>
      </c>
      <c r="Q79" s="50">
        <f t="shared" ref="Q79:R92" si="37">N79-L79</f>
        <v>45</v>
      </c>
      <c r="R79" s="50">
        <f t="shared" si="37"/>
        <v>45</v>
      </c>
      <c r="S79" s="52" t="s">
        <v>320</v>
      </c>
      <c r="T79" s="52">
        <f>O79+30</f>
        <v>44779</v>
      </c>
      <c r="U79" s="52">
        <f>T79+(12*4.3*7)</f>
        <v>45140.2</v>
      </c>
      <c r="V79" s="50">
        <v>11.999999999999904</v>
      </c>
      <c r="W79" s="50">
        <f t="shared" ref="W79:W81" si="38">((U79-T79)/7)/4.3</f>
        <v>11.999999999999904</v>
      </c>
      <c r="X79" s="50"/>
      <c r="Y79" s="52"/>
      <c r="Z79" s="50"/>
      <c r="AA79" s="53">
        <v>4000000</v>
      </c>
      <c r="AB79" s="211">
        <v>0</v>
      </c>
      <c r="AC79" s="211">
        <v>0</v>
      </c>
      <c r="AD79" s="211">
        <v>0</v>
      </c>
      <c r="AE79" s="211">
        <v>0</v>
      </c>
      <c r="AF79" s="275">
        <v>250000</v>
      </c>
      <c r="AG79" s="275">
        <v>340000</v>
      </c>
      <c r="AH79" s="275">
        <v>340000</v>
      </c>
      <c r="AI79" s="275">
        <v>340000</v>
      </c>
      <c r="AJ79" s="275">
        <v>340000</v>
      </c>
      <c r="AK79" s="275">
        <v>340000</v>
      </c>
      <c r="AL79" s="275">
        <v>340000</v>
      </c>
      <c r="AM79" s="275">
        <v>340000</v>
      </c>
      <c r="AN79" s="275">
        <v>340000</v>
      </c>
      <c r="AO79" s="275">
        <v>830000</v>
      </c>
      <c r="AP79" s="47"/>
      <c r="AQ79" s="53">
        <f t="shared" ref="AQ79:AQ81" si="39">SUM(AB79:AP79)</f>
        <v>3800000</v>
      </c>
      <c r="AR79" s="51"/>
      <c r="AS79" s="359">
        <f t="shared" si="10"/>
        <v>-200000</v>
      </c>
    </row>
    <row r="80" spans="1:47" s="36" customFormat="1" ht="15.75" x14ac:dyDescent="0.25">
      <c r="A80" s="374" t="s">
        <v>591</v>
      </c>
      <c r="B80" s="375" t="s">
        <v>592</v>
      </c>
      <c r="C80" s="423" t="s">
        <v>825</v>
      </c>
      <c r="D80" s="52" t="s">
        <v>45</v>
      </c>
      <c r="E80" s="52" t="s">
        <v>45</v>
      </c>
      <c r="F80" s="423" t="s">
        <v>890</v>
      </c>
      <c r="G80" s="61" t="s">
        <v>698</v>
      </c>
      <c r="H80" s="52" t="s">
        <v>623</v>
      </c>
      <c r="I80" s="52" t="s">
        <v>320</v>
      </c>
      <c r="J80" s="423"/>
      <c r="K80" s="87">
        <v>44713</v>
      </c>
      <c r="L80" s="87">
        <v>44668</v>
      </c>
      <c r="M80" s="87">
        <v>44682</v>
      </c>
      <c r="N80" s="52">
        <v>44713</v>
      </c>
      <c r="O80" s="87">
        <f>M80+28</f>
        <v>44710</v>
      </c>
      <c r="P80" s="88">
        <f t="shared" si="36"/>
        <v>-3</v>
      </c>
      <c r="Q80" s="50">
        <f t="shared" si="37"/>
        <v>45</v>
      </c>
      <c r="R80" s="50">
        <f t="shared" si="37"/>
        <v>28</v>
      </c>
      <c r="S80" s="52" t="s">
        <v>320</v>
      </c>
      <c r="T80" s="52">
        <v>44713</v>
      </c>
      <c r="U80" s="52">
        <f>T80+(6*4.3*7)</f>
        <v>44893.599999999999</v>
      </c>
      <c r="V80" s="50">
        <v>5.999999999999952</v>
      </c>
      <c r="W80" s="50">
        <f t="shared" si="38"/>
        <v>5.999999999999952</v>
      </c>
      <c r="X80" s="50"/>
      <c r="Y80" s="52"/>
      <c r="Z80" s="50"/>
      <c r="AA80" s="182">
        <v>988611</v>
      </c>
      <c r="AB80" s="211">
        <v>0</v>
      </c>
      <c r="AC80" s="211">
        <v>0</v>
      </c>
      <c r="AD80" s="211">
        <v>0</v>
      </c>
      <c r="AE80" s="211">
        <v>0</v>
      </c>
      <c r="AF80" s="275">
        <v>100000</v>
      </c>
      <c r="AG80" s="275">
        <v>100000</v>
      </c>
      <c r="AH80" s="275">
        <v>100000</v>
      </c>
      <c r="AI80" s="58"/>
      <c r="AJ80" s="58"/>
      <c r="AK80" s="58"/>
      <c r="AL80" s="58"/>
      <c r="AM80" s="58">
        <v>25000</v>
      </c>
      <c r="AN80" s="58"/>
      <c r="AO80" s="58">
        <v>588611</v>
      </c>
      <c r="AP80" s="47"/>
      <c r="AQ80" s="53">
        <f t="shared" si="39"/>
        <v>913611</v>
      </c>
      <c r="AR80" s="51"/>
      <c r="AS80" s="359">
        <f t="shared" si="10"/>
        <v>-75000</v>
      </c>
      <c r="AU80" s="55"/>
    </row>
    <row r="81" spans="1:47" s="36" customFormat="1" ht="15.75" x14ac:dyDescent="0.25">
      <c r="A81" s="113" t="s">
        <v>717</v>
      </c>
      <c r="B81" s="114" t="s">
        <v>524</v>
      </c>
      <c r="C81" s="423" t="s">
        <v>824</v>
      </c>
      <c r="D81" s="52" t="s">
        <v>45</v>
      </c>
      <c r="E81" s="52" t="s">
        <v>45</v>
      </c>
      <c r="F81" s="423" t="s">
        <v>45</v>
      </c>
      <c r="G81" s="61" t="s">
        <v>522</v>
      </c>
      <c r="H81" s="52" t="s">
        <v>623</v>
      </c>
      <c r="I81" s="52" t="s">
        <v>320</v>
      </c>
      <c r="J81" s="423"/>
      <c r="K81" s="87">
        <v>44797</v>
      </c>
      <c r="L81" s="87">
        <v>44668</v>
      </c>
      <c r="M81" s="87">
        <v>44752</v>
      </c>
      <c r="N81" s="52">
        <v>44713</v>
      </c>
      <c r="O81" s="87">
        <f>M81+45</f>
        <v>44797</v>
      </c>
      <c r="P81" s="88">
        <f t="shared" si="36"/>
        <v>0</v>
      </c>
      <c r="Q81" s="50">
        <f t="shared" si="37"/>
        <v>45</v>
      </c>
      <c r="R81" s="50">
        <f t="shared" si="37"/>
        <v>45</v>
      </c>
      <c r="S81" s="52" t="s">
        <v>320</v>
      </c>
      <c r="T81" s="87">
        <v>44713</v>
      </c>
      <c r="U81" s="52">
        <f>T81+(10*4.3*7)</f>
        <v>45014</v>
      </c>
      <c r="V81" s="50">
        <v>10</v>
      </c>
      <c r="W81" s="50">
        <f t="shared" si="38"/>
        <v>10</v>
      </c>
      <c r="X81" s="50"/>
      <c r="Y81" s="52"/>
      <c r="Z81" s="50"/>
      <c r="AA81" s="53">
        <v>3000000</v>
      </c>
      <c r="AB81" s="211">
        <v>0</v>
      </c>
      <c r="AC81" s="211">
        <v>0</v>
      </c>
      <c r="AD81" s="211">
        <v>0</v>
      </c>
      <c r="AE81" s="211">
        <v>0</v>
      </c>
      <c r="AF81" s="275">
        <v>250000</v>
      </c>
      <c r="AG81" s="275">
        <v>300000</v>
      </c>
      <c r="AH81" s="275">
        <v>300000</v>
      </c>
      <c r="AI81" s="275">
        <v>300000</v>
      </c>
      <c r="AJ81" s="275">
        <v>300000</v>
      </c>
      <c r="AK81" s="275">
        <v>300000</v>
      </c>
      <c r="AL81" s="275">
        <v>300000</v>
      </c>
      <c r="AM81" s="275">
        <v>300000</v>
      </c>
      <c r="AN81" s="275">
        <v>300000</v>
      </c>
      <c r="AO81" s="275">
        <v>225000</v>
      </c>
      <c r="AP81" s="47"/>
      <c r="AQ81" s="53">
        <f t="shared" si="39"/>
        <v>2875000</v>
      </c>
      <c r="AR81" s="51"/>
      <c r="AS81" s="359">
        <f t="shared" si="10"/>
        <v>-125000</v>
      </c>
    </row>
    <row r="82" spans="1:47" s="36" customFormat="1" ht="15.75" x14ac:dyDescent="0.25">
      <c r="A82" s="113" t="s">
        <v>950</v>
      </c>
      <c r="B82" s="113" t="s">
        <v>951</v>
      </c>
      <c r="C82" s="52" t="s">
        <v>831</v>
      </c>
      <c r="D82" s="52" t="s">
        <v>874</v>
      </c>
      <c r="E82" s="394" t="s">
        <v>873</v>
      </c>
      <c r="F82" s="469" t="s">
        <v>892</v>
      </c>
      <c r="G82" s="63" t="s">
        <v>864</v>
      </c>
      <c r="H82" s="52" t="s">
        <v>623</v>
      </c>
      <c r="I82" s="52" t="s">
        <v>320</v>
      </c>
      <c r="J82" s="426"/>
      <c r="K82" s="52">
        <v>44958</v>
      </c>
      <c r="L82" s="52">
        <v>44682</v>
      </c>
      <c r="M82" s="87">
        <v>44778</v>
      </c>
      <c r="N82" s="87">
        <v>44742</v>
      </c>
      <c r="O82" s="87">
        <f>M82+180</f>
        <v>44958</v>
      </c>
      <c r="P82" s="88">
        <f t="shared" si="36"/>
        <v>0</v>
      </c>
      <c r="Q82" s="50">
        <f t="shared" si="37"/>
        <v>60</v>
      </c>
      <c r="R82" s="50">
        <f t="shared" si="37"/>
        <v>180</v>
      </c>
      <c r="S82" s="52" t="s">
        <v>320</v>
      </c>
      <c r="T82" s="52">
        <f>O82+30</f>
        <v>44988</v>
      </c>
      <c r="U82" s="52">
        <f>T82+(12*4.3*7)</f>
        <v>45349.2</v>
      </c>
      <c r="V82" s="50">
        <v>11.999999999999904</v>
      </c>
      <c r="W82" s="50">
        <f>((U82-T82)/7)/4.3</f>
        <v>11.999999999999904</v>
      </c>
      <c r="X82" s="50"/>
      <c r="Y82" s="52"/>
      <c r="Z82" s="50"/>
      <c r="AA82" s="58">
        <v>14000000</v>
      </c>
      <c r="AB82" s="211">
        <v>0</v>
      </c>
      <c r="AC82" s="211">
        <v>0</v>
      </c>
      <c r="AD82" s="211">
        <v>0</v>
      </c>
      <c r="AE82" s="211">
        <v>0</v>
      </c>
      <c r="AF82" s="58"/>
      <c r="AG82" s="58"/>
      <c r="AH82" s="58"/>
      <c r="AI82" s="58"/>
      <c r="AJ82" s="58"/>
      <c r="AK82" s="275">
        <v>1250000</v>
      </c>
      <c r="AL82" s="275">
        <v>1250000</v>
      </c>
      <c r="AM82" s="275">
        <v>1250000</v>
      </c>
      <c r="AN82" s="275">
        <v>1250000</v>
      </c>
      <c r="AO82" s="275">
        <f>3200000+5800000</f>
        <v>9000000</v>
      </c>
      <c r="AP82" s="47"/>
      <c r="AQ82" s="53">
        <f t="shared" ref="AQ82:AQ92" si="40">SUM(AB82:AP82)</f>
        <v>14000000</v>
      </c>
      <c r="AR82" s="51"/>
      <c r="AS82" s="359">
        <f t="shared" si="10"/>
        <v>0</v>
      </c>
      <c r="AU82" s="55"/>
    </row>
    <row r="83" spans="1:47" x14ac:dyDescent="0.25">
      <c r="A83" s="68"/>
      <c r="B83" s="68"/>
      <c r="C83" s="523"/>
      <c r="D83" s="523"/>
    </row>
    <row r="84" spans="1:47" s="36" customFormat="1" ht="15.75" x14ac:dyDescent="0.25">
      <c r="A84" s="374" t="s">
        <v>228</v>
      </c>
      <c r="B84" s="374" t="s">
        <v>579</v>
      </c>
      <c r="C84" s="87" t="s">
        <v>838</v>
      </c>
      <c r="D84" s="52" t="s">
        <v>45</v>
      </c>
      <c r="E84" s="52" t="s">
        <v>45</v>
      </c>
      <c r="F84" s="52" t="s">
        <v>893</v>
      </c>
      <c r="G84" s="56" t="s">
        <v>230</v>
      </c>
      <c r="H84" s="52" t="s">
        <v>623</v>
      </c>
      <c r="I84" s="52" t="s">
        <v>320</v>
      </c>
      <c r="J84" s="87"/>
      <c r="K84" s="330" t="s">
        <v>370</v>
      </c>
      <c r="L84" s="52">
        <v>44610</v>
      </c>
      <c r="M84" s="329">
        <v>44610</v>
      </c>
      <c r="N84" s="87">
        <v>44620</v>
      </c>
      <c r="O84" s="87">
        <v>44718</v>
      </c>
      <c r="P84" s="88" t="e">
        <f t="shared" si="36"/>
        <v>#VALUE!</v>
      </c>
      <c r="Q84" s="50">
        <f t="shared" ref="Q84:Q92" si="41">N84-L84</f>
        <v>10</v>
      </c>
      <c r="R84" s="50">
        <f t="shared" si="37"/>
        <v>108</v>
      </c>
      <c r="S84" s="52" t="s">
        <v>320</v>
      </c>
      <c r="T84" s="376">
        <f>O84+7</f>
        <v>44725</v>
      </c>
      <c r="U84" s="52">
        <f>T84+(9*4.3*7)</f>
        <v>44995.9</v>
      </c>
      <c r="V84" s="50">
        <v>9.0000000000000497</v>
      </c>
      <c r="W84" s="50">
        <f t="shared" ref="W84:W92" si="42">((U84-T84)/7)/4.3</f>
        <v>9.0000000000000497</v>
      </c>
      <c r="X84" s="50"/>
      <c r="Y84" s="52"/>
      <c r="Z84" s="52"/>
      <c r="AA84" s="53">
        <v>2229000</v>
      </c>
      <c r="AB84" s="211">
        <v>0</v>
      </c>
      <c r="AC84" s="211">
        <v>0</v>
      </c>
      <c r="AD84" s="211">
        <v>201811</v>
      </c>
      <c r="AE84" s="211">
        <v>0</v>
      </c>
      <c r="AF84" s="58"/>
      <c r="AG84" s="58"/>
      <c r="AH84" s="275">
        <v>250000</v>
      </c>
      <c r="AI84" s="275">
        <v>250000</v>
      </c>
      <c r="AJ84" s="275">
        <v>250000</v>
      </c>
      <c r="AK84" s="275">
        <v>250000</v>
      </c>
      <c r="AL84" s="275">
        <v>250000</v>
      </c>
      <c r="AM84" s="275">
        <v>250000</v>
      </c>
      <c r="AN84" s="275">
        <v>204000</v>
      </c>
      <c r="AO84" s="275">
        <v>323189</v>
      </c>
      <c r="AP84" s="47"/>
      <c r="AQ84" s="53">
        <f t="shared" si="40"/>
        <v>2229000</v>
      </c>
      <c r="AR84" s="51"/>
      <c r="AS84" s="359">
        <f t="shared" si="10"/>
        <v>0</v>
      </c>
    </row>
    <row r="85" spans="1:47" s="36" customFormat="1" ht="15.75" x14ac:dyDescent="0.25">
      <c r="A85" s="374" t="s">
        <v>578</v>
      </c>
      <c r="B85" s="374" t="s">
        <v>443</v>
      </c>
      <c r="C85" s="87" t="s">
        <v>838</v>
      </c>
      <c r="D85" s="52" t="s">
        <v>45</v>
      </c>
      <c r="E85" s="52" t="s">
        <v>45</v>
      </c>
      <c r="F85" s="52" t="s">
        <v>893</v>
      </c>
      <c r="G85" s="56" t="s">
        <v>230</v>
      </c>
      <c r="H85" s="52" t="s">
        <v>623</v>
      </c>
      <c r="I85" s="52" t="s">
        <v>320</v>
      </c>
      <c r="J85" s="87"/>
      <c r="K85" s="330" t="s">
        <v>370</v>
      </c>
      <c r="L85" s="52">
        <v>44530</v>
      </c>
      <c r="M85" s="87">
        <f>O84</f>
        <v>44718</v>
      </c>
      <c r="N85" s="87">
        <v>44620</v>
      </c>
      <c r="O85" s="87">
        <f>M85+45</f>
        <v>44763</v>
      </c>
      <c r="P85" s="88" t="e">
        <f t="shared" si="36"/>
        <v>#VALUE!</v>
      </c>
      <c r="Q85" s="50">
        <f t="shared" si="41"/>
        <v>90</v>
      </c>
      <c r="R85" s="50">
        <f t="shared" si="37"/>
        <v>45</v>
      </c>
      <c r="S85" s="52" t="s">
        <v>320</v>
      </c>
      <c r="T85" s="376">
        <f>O85+90</f>
        <v>44853</v>
      </c>
      <c r="U85" s="52">
        <f>T85+(4*4.3*7)</f>
        <v>44973.4</v>
      </c>
      <c r="V85" s="50">
        <v>4.0000000000000488</v>
      </c>
      <c r="W85" s="50">
        <f t="shared" si="42"/>
        <v>4.0000000000000488</v>
      </c>
      <c r="X85" s="50"/>
      <c r="Y85" s="52"/>
      <c r="Z85" s="50"/>
      <c r="AA85" s="53">
        <v>360000</v>
      </c>
      <c r="AB85" s="211">
        <v>0</v>
      </c>
      <c r="AC85" s="211">
        <v>0</v>
      </c>
      <c r="AD85" s="211">
        <v>21249</v>
      </c>
      <c r="AE85" s="211">
        <v>0</v>
      </c>
      <c r="AF85" s="58"/>
      <c r="AG85" s="58"/>
      <c r="AH85" s="58"/>
      <c r="AI85" s="58"/>
      <c r="AJ85" s="58"/>
      <c r="AK85" s="58"/>
      <c r="AL85" s="58"/>
      <c r="AM85" s="275">
        <v>125000</v>
      </c>
      <c r="AN85" s="275">
        <v>125000</v>
      </c>
      <c r="AO85" s="275">
        <v>88751</v>
      </c>
      <c r="AP85" s="47"/>
      <c r="AQ85" s="53">
        <f t="shared" si="40"/>
        <v>360000</v>
      </c>
      <c r="AR85" s="51"/>
      <c r="AS85" s="359">
        <f t="shared" si="10"/>
        <v>0</v>
      </c>
      <c r="AU85" s="55"/>
    </row>
    <row r="86" spans="1:47" s="36" customFormat="1" ht="15.75" x14ac:dyDescent="0.25">
      <c r="A86" s="185"/>
      <c r="B86" s="113" t="s">
        <v>841</v>
      </c>
      <c r="C86" s="87" t="s">
        <v>842</v>
      </c>
      <c r="D86" s="52" t="s">
        <v>45</v>
      </c>
      <c r="E86" s="52" t="s">
        <v>45</v>
      </c>
      <c r="F86" s="422" t="s">
        <v>890</v>
      </c>
      <c r="G86" s="57" t="s">
        <v>844</v>
      </c>
      <c r="H86" s="52" t="s">
        <v>623</v>
      </c>
      <c r="I86" s="52" t="s">
        <v>320</v>
      </c>
      <c r="J86" s="432"/>
      <c r="K86" s="298">
        <v>44704</v>
      </c>
      <c r="L86" s="52">
        <v>44690</v>
      </c>
      <c r="M86" s="87">
        <v>44690</v>
      </c>
      <c r="N86" s="87">
        <v>44740</v>
      </c>
      <c r="O86" s="87">
        <f>M86+14</f>
        <v>44704</v>
      </c>
      <c r="P86" s="88">
        <f t="shared" si="36"/>
        <v>0</v>
      </c>
      <c r="Q86" s="50">
        <f t="shared" si="41"/>
        <v>50</v>
      </c>
      <c r="R86" s="50">
        <f t="shared" si="37"/>
        <v>14</v>
      </c>
      <c r="S86" s="52" t="s">
        <v>320</v>
      </c>
      <c r="T86" s="376">
        <f>O86</f>
        <v>44704</v>
      </c>
      <c r="U86" s="52">
        <f>T86+(6*4.3*7)</f>
        <v>44884.6</v>
      </c>
      <c r="V86" s="50">
        <v>4.0000000000000488</v>
      </c>
      <c r="W86" s="50">
        <f t="shared" si="42"/>
        <v>5.999999999999952</v>
      </c>
      <c r="X86" s="50"/>
      <c r="Y86" s="52"/>
      <c r="Z86" s="50"/>
      <c r="AA86" s="53">
        <v>900000</v>
      </c>
      <c r="AB86" s="211">
        <v>0</v>
      </c>
      <c r="AC86" s="211">
        <v>0</v>
      </c>
      <c r="AD86" s="211">
        <v>0</v>
      </c>
      <c r="AE86" s="211">
        <v>0</v>
      </c>
      <c r="AF86" s="58"/>
      <c r="AG86" s="89"/>
      <c r="AH86" s="89"/>
      <c r="AI86" s="89"/>
      <c r="AJ86" s="89"/>
      <c r="AK86" s="58"/>
      <c r="AL86" s="58"/>
      <c r="AM86" s="58"/>
      <c r="AN86" s="58"/>
      <c r="AO86" s="53">
        <v>900000</v>
      </c>
      <c r="AP86" s="47"/>
      <c r="AQ86" s="53">
        <f t="shared" si="40"/>
        <v>900000</v>
      </c>
      <c r="AR86" s="51"/>
      <c r="AS86" s="359">
        <f t="shared" si="10"/>
        <v>0</v>
      </c>
      <c r="AU86" s="55"/>
    </row>
    <row r="87" spans="1:47" s="36" customFormat="1" ht="15.75" x14ac:dyDescent="0.25">
      <c r="A87" s="185"/>
      <c r="B87" s="113" t="s">
        <v>882</v>
      </c>
      <c r="C87" s="87" t="s">
        <v>941</v>
      </c>
      <c r="D87" s="52" t="s">
        <v>45</v>
      </c>
      <c r="E87" s="52" t="s">
        <v>45</v>
      </c>
      <c r="F87" s="422" t="s">
        <v>890</v>
      </c>
      <c r="G87" s="57"/>
      <c r="H87" s="52" t="s">
        <v>623</v>
      </c>
      <c r="I87" s="52" t="s">
        <v>320</v>
      </c>
      <c r="J87" s="432"/>
      <c r="K87" s="299">
        <v>44748</v>
      </c>
      <c r="L87" s="299">
        <v>44792</v>
      </c>
      <c r="M87" s="298">
        <v>44792</v>
      </c>
      <c r="N87" s="298">
        <v>44832</v>
      </c>
      <c r="O87" s="87">
        <f>M87+40</f>
        <v>44832</v>
      </c>
      <c r="P87" s="88">
        <f t="shared" si="36"/>
        <v>84</v>
      </c>
      <c r="Q87" s="50">
        <f t="shared" si="41"/>
        <v>40</v>
      </c>
      <c r="R87" s="50">
        <f t="shared" si="37"/>
        <v>40</v>
      </c>
      <c r="S87" s="52" t="s">
        <v>320</v>
      </c>
      <c r="T87" s="87">
        <f t="shared" ref="T87:T92" si="43">O87+7</f>
        <v>44839</v>
      </c>
      <c r="U87" s="52">
        <f>T87+(12*4.3*7)</f>
        <v>45200.2</v>
      </c>
      <c r="V87" s="50">
        <v>4.0000000000000488</v>
      </c>
      <c r="W87" s="50">
        <f t="shared" si="42"/>
        <v>11.999999999999904</v>
      </c>
      <c r="X87" s="50"/>
      <c r="Y87" s="52"/>
      <c r="Z87" s="50"/>
      <c r="AA87" s="53">
        <v>5000000</v>
      </c>
      <c r="AB87" s="211">
        <v>0</v>
      </c>
      <c r="AC87" s="211">
        <v>0</v>
      </c>
      <c r="AD87" s="211">
        <v>0</v>
      </c>
      <c r="AE87" s="211">
        <v>0</v>
      </c>
      <c r="AF87" s="58"/>
      <c r="AG87" s="89"/>
      <c r="AH87" s="89"/>
      <c r="AI87" s="89"/>
      <c r="AJ87" s="275">
        <v>250000</v>
      </c>
      <c r="AK87" s="275">
        <v>250000</v>
      </c>
      <c r="AL87" s="275">
        <v>250000</v>
      </c>
      <c r="AM87" s="275">
        <v>250000</v>
      </c>
      <c r="AN87" s="275">
        <v>250000</v>
      </c>
      <c r="AO87" s="275">
        <v>3750000</v>
      </c>
      <c r="AP87" s="47"/>
      <c r="AQ87" s="53">
        <f t="shared" si="40"/>
        <v>5000000</v>
      </c>
      <c r="AR87" s="51"/>
      <c r="AS87" s="359">
        <f t="shared" si="10"/>
        <v>0</v>
      </c>
      <c r="AU87" s="55"/>
    </row>
    <row r="88" spans="1:47" s="36" customFormat="1" ht="15.75" x14ac:dyDescent="0.25">
      <c r="A88" s="185"/>
      <c r="B88" s="114" t="s">
        <v>883</v>
      </c>
      <c r="C88" s="432" t="s">
        <v>940</v>
      </c>
      <c r="D88" s="52" t="s">
        <v>45</v>
      </c>
      <c r="E88" s="52" t="s">
        <v>45</v>
      </c>
      <c r="F88" s="422"/>
      <c r="G88" s="57"/>
      <c r="H88" s="52" t="s">
        <v>623</v>
      </c>
      <c r="I88" s="52" t="s">
        <v>320</v>
      </c>
      <c r="J88" s="432"/>
      <c r="K88" s="299">
        <v>44768</v>
      </c>
      <c r="L88" s="299">
        <v>44708</v>
      </c>
      <c r="M88" s="298">
        <v>44708</v>
      </c>
      <c r="N88" s="298">
        <v>44768</v>
      </c>
      <c r="O88" s="87">
        <f>M88+60</f>
        <v>44768</v>
      </c>
      <c r="P88" s="88">
        <f t="shared" si="36"/>
        <v>0</v>
      </c>
      <c r="Q88" s="50">
        <f t="shared" si="41"/>
        <v>60</v>
      </c>
      <c r="R88" s="50">
        <f t="shared" si="37"/>
        <v>60</v>
      </c>
      <c r="S88" s="52" t="s">
        <v>320</v>
      </c>
      <c r="T88" s="87">
        <f t="shared" si="43"/>
        <v>44775</v>
      </c>
      <c r="U88" s="52">
        <f>T88+(12*4.3*7)</f>
        <v>45136.2</v>
      </c>
      <c r="V88" s="50">
        <v>4.0000000000000488</v>
      </c>
      <c r="W88" s="50">
        <f t="shared" si="42"/>
        <v>11.999999999999904</v>
      </c>
      <c r="X88" s="50"/>
      <c r="Y88" s="52"/>
      <c r="Z88" s="50"/>
      <c r="AA88" s="53">
        <v>8000000</v>
      </c>
      <c r="AB88" s="211">
        <v>0</v>
      </c>
      <c r="AC88" s="211">
        <v>0</v>
      </c>
      <c r="AD88" s="211">
        <v>0</v>
      </c>
      <c r="AE88" s="211">
        <v>0</v>
      </c>
      <c r="AF88" s="58"/>
      <c r="AG88" s="89"/>
      <c r="AH88" s="89"/>
      <c r="AI88" s="89"/>
      <c r="AJ88" s="89"/>
      <c r="AK88" s="275">
        <v>250000</v>
      </c>
      <c r="AL88" s="275">
        <v>275000</v>
      </c>
      <c r="AM88" s="275">
        <v>275000</v>
      </c>
      <c r="AN88" s="275">
        <v>275000</v>
      </c>
      <c r="AO88" s="275">
        <v>6925000</v>
      </c>
      <c r="AP88" s="47"/>
      <c r="AQ88" s="53">
        <f t="shared" si="40"/>
        <v>8000000</v>
      </c>
      <c r="AR88" s="51"/>
      <c r="AS88" s="359">
        <f t="shared" si="10"/>
        <v>0</v>
      </c>
      <c r="AU88" s="55"/>
    </row>
    <row r="89" spans="1:47" s="36" customFormat="1" ht="15.75" x14ac:dyDescent="0.25">
      <c r="A89" s="185"/>
      <c r="B89" s="114" t="s">
        <v>894</v>
      </c>
      <c r="C89" s="432" t="s">
        <v>942</v>
      </c>
      <c r="D89" s="52" t="s">
        <v>45</v>
      </c>
      <c r="E89" s="52" t="s">
        <v>45</v>
      </c>
      <c r="F89" s="422" t="s">
        <v>893</v>
      </c>
      <c r="G89" s="57"/>
      <c r="H89" s="52" t="s">
        <v>623</v>
      </c>
      <c r="I89" s="52" t="s">
        <v>320</v>
      </c>
      <c r="J89" s="432"/>
      <c r="K89" s="299">
        <v>44774</v>
      </c>
      <c r="L89" s="299">
        <v>44729</v>
      </c>
      <c r="M89" s="298">
        <v>44729</v>
      </c>
      <c r="N89" s="298">
        <v>44774</v>
      </c>
      <c r="O89" s="87">
        <f>M89+45</f>
        <v>44774</v>
      </c>
      <c r="P89" s="88">
        <f t="shared" si="36"/>
        <v>0</v>
      </c>
      <c r="Q89" s="50">
        <f t="shared" si="41"/>
        <v>45</v>
      </c>
      <c r="R89" s="50">
        <f t="shared" si="37"/>
        <v>45</v>
      </c>
      <c r="S89" s="52" t="s">
        <v>320</v>
      </c>
      <c r="T89" s="87">
        <f t="shared" si="43"/>
        <v>44781</v>
      </c>
      <c r="U89" s="52">
        <f>T89+(12*4.3*7)</f>
        <v>45142.2</v>
      </c>
      <c r="V89" s="50">
        <v>4.0000000000000488</v>
      </c>
      <c r="W89" s="50">
        <f t="shared" si="42"/>
        <v>11.999999999999904</v>
      </c>
      <c r="X89" s="50"/>
      <c r="Y89" s="52"/>
      <c r="Z89" s="52">
        <v>44701</v>
      </c>
      <c r="AA89" s="53">
        <v>9600000</v>
      </c>
      <c r="AB89" s="211">
        <v>0</v>
      </c>
      <c r="AC89" s="211">
        <v>0</v>
      </c>
      <c r="AD89" s="211">
        <v>0</v>
      </c>
      <c r="AE89" s="211">
        <v>0</v>
      </c>
      <c r="AF89" s="58"/>
      <c r="AG89" s="89"/>
      <c r="AH89" s="89"/>
      <c r="AI89" s="89"/>
      <c r="AJ89" s="89"/>
      <c r="AK89" s="58"/>
      <c r="AL89" s="58"/>
      <c r="AM89" s="58"/>
      <c r="AN89" s="58"/>
      <c r="AO89" s="53">
        <v>9600000</v>
      </c>
      <c r="AP89" s="47"/>
      <c r="AQ89" s="53">
        <f t="shared" si="40"/>
        <v>9600000</v>
      </c>
      <c r="AR89" s="51"/>
      <c r="AS89" s="359">
        <f t="shared" ref="AS89:AS91" si="44">AQ89-AA89</f>
        <v>0</v>
      </c>
      <c r="AU89" s="55"/>
    </row>
    <row r="90" spans="1:47" s="36" customFormat="1" ht="15.75" x14ac:dyDescent="0.25">
      <c r="A90" s="185"/>
      <c r="B90" s="114" t="s">
        <v>895</v>
      </c>
      <c r="C90" s="432"/>
      <c r="D90" s="52" t="s">
        <v>45</v>
      </c>
      <c r="E90" s="52" t="s">
        <v>45</v>
      </c>
      <c r="F90" s="422" t="s">
        <v>893</v>
      </c>
      <c r="G90" s="57"/>
      <c r="H90" s="52" t="s">
        <v>623</v>
      </c>
      <c r="I90" s="52" t="s">
        <v>320</v>
      </c>
      <c r="J90" s="432"/>
      <c r="K90" s="299">
        <v>44816</v>
      </c>
      <c r="L90" s="299">
        <v>44696</v>
      </c>
      <c r="M90" s="298">
        <v>44696</v>
      </c>
      <c r="N90" s="298">
        <v>44816</v>
      </c>
      <c r="O90" s="87">
        <f>M90+120</f>
        <v>44816</v>
      </c>
      <c r="P90" s="88">
        <f t="shared" si="36"/>
        <v>0</v>
      </c>
      <c r="Q90" s="50">
        <f t="shared" si="41"/>
        <v>120</v>
      </c>
      <c r="R90" s="50">
        <f t="shared" si="37"/>
        <v>120</v>
      </c>
      <c r="S90" s="52" t="s">
        <v>320</v>
      </c>
      <c r="T90" s="87">
        <f t="shared" si="43"/>
        <v>44823</v>
      </c>
      <c r="U90" s="52">
        <f t="shared" ref="U90:U91" si="45">T90+(6*4.3*7)</f>
        <v>45003.6</v>
      </c>
      <c r="V90" s="50">
        <v>6</v>
      </c>
      <c r="W90" s="50">
        <f t="shared" si="42"/>
        <v>5.999999999999952</v>
      </c>
      <c r="X90" s="50"/>
      <c r="Y90" s="52"/>
      <c r="Z90" s="52">
        <v>44741</v>
      </c>
      <c r="AA90" s="53">
        <v>1800000</v>
      </c>
      <c r="AB90" s="211">
        <v>0</v>
      </c>
      <c r="AC90" s="211">
        <v>0</v>
      </c>
      <c r="AD90" s="211">
        <v>0</v>
      </c>
      <c r="AE90" s="211">
        <v>0</v>
      </c>
      <c r="AF90" s="58"/>
      <c r="AG90" s="89"/>
      <c r="AH90" s="89"/>
      <c r="AI90" s="89"/>
      <c r="AJ90" s="89"/>
      <c r="AK90" s="58"/>
      <c r="AL90" s="58"/>
      <c r="AM90" s="58"/>
      <c r="AN90" s="58"/>
      <c r="AO90" s="53">
        <v>1800000</v>
      </c>
      <c r="AP90" s="47"/>
      <c r="AQ90" s="53">
        <f t="shared" si="40"/>
        <v>1800000</v>
      </c>
      <c r="AR90" s="51"/>
      <c r="AS90" s="359">
        <f t="shared" si="44"/>
        <v>0</v>
      </c>
      <c r="AU90" s="55"/>
    </row>
    <row r="91" spans="1:47" s="36" customFormat="1" ht="15.75" x14ac:dyDescent="0.25">
      <c r="A91" s="185"/>
      <c r="B91" s="114" t="s">
        <v>933</v>
      </c>
      <c r="C91" s="432"/>
      <c r="D91" s="52" t="s">
        <v>45</v>
      </c>
      <c r="E91" s="52" t="s">
        <v>45</v>
      </c>
      <c r="F91" s="422" t="s">
        <v>892</v>
      </c>
      <c r="G91" s="57" t="s">
        <v>934</v>
      </c>
      <c r="H91" s="52" t="s">
        <v>623</v>
      </c>
      <c r="I91" s="52" t="s">
        <v>320</v>
      </c>
      <c r="J91" s="432"/>
      <c r="K91" s="299">
        <v>44733</v>
      </c>
      <c r="L91" s="299">
        <v>44698</v>
      </c>
      <c r="M91" s="298">
        <v>44698</v>
      </c>
      <c r="N91" s="298">
        <v>44743</v>
      </c>
      <c r="O91" s="87">
        <f>M91+45</f>
        <v>44743</v>
      </c>
      <c r="P91" s="88">
        <f t="shared" si="36"/>
        <v>10</v>
      </c>
      <c r="Q91" s="50">
        <f t="shared" si="41"/>
        <v>45</v>
      </c>
      <c r="R91" s="50">
        <f t="shared" si="37"/>
        <v>45</v>
      </c>
      <c r="S91" s="52" t="s">
        <v>320</v>
      </c>
      <c r="T91" s="87">
        <f t="shared" si="43"/>
        <v>44750</v>
      </c>
      <c r="U91" s="52">
        <f t="shared" si="45"/>
        <v>44930.6</v>
      </c>
      <c r="V91" s="50">
        <v>6</v>
      </c>
      <c r="W91" s="50">
        <f t="shared" si="42"/>
        <v>5.999999999999952</v>
      </c>
      <c r="X91" s="50"/>
      <c r="Y91" s="52"/>
      <c r="Z91" s="50"/>
      <c r="AA91" s="53">
        <v>3200000</v>
      </c>
      <c r="AB91" s="211">
        <v>0</v>
      </c>
      <c r="AC91" s="211">
        <v>0</v>
      </c>
      <c r="AD91" s="211">
        <v>0</v>
      </c>
      <c r="AE91" s="211">
        <v>0</v>
      </c>
      <c r="AF91" s="58"/>
      <c r="AG91" s="89"/>
      <c r="AH91" s="89"/>
      <c r="AI91" s="89"/>
      <c r="AJ91" s="89"/>
      <c r="AK91" s="58"/>
      <c r="AL91" s="58"/>
      <c r="AM91" s="58"/>
      <c r="AN91" s="58"/>
      <c r="AO91" s="53">
        <v>3200000</v>
      </c>
      <c r="AP91" s="47"/>
      <c r="AQ91" s="53">
        <f t="shared" si="40"/>
        <v>3200000</v>
      </c>
      <c r="AR91" s="51"/>
      <c r="AS91" s="359">
        <f t="shared" si="44"/>
        <v>0</v>
      </c>
      <c r="AU91" s="55"/>
    </row>
    <row r="92" spans="1:47" s="36" customFormat="1" ht="15.75" x14ac:dyDescent="0.25">
      <c r="A92" s="185"/>
      <c r="B92" s="114" t="s">
        <v>943</v>
      </c>
      <c r="C92" s="432"/>
      <c r="D92" s="52" t="s">
        <v>45</v>
      </c>
      <c r="E92" s="52" t="s">
        <v>45</v>
      </c>
      <c r="F92" s="422" t="s">
        <v>892</v>
      </c>
      <c r="G92" s="57"/>
      <c r="H92" s="52" t="s">
        <v>623</v>
      </c>
      <c r="I92" s="52" t="s">
        <v>320</v>
      </c>
      <c r="J92" s="432"/>
      <c r="K92" s="298">
        <v>44704</v>
      </c>
      <c r="L92" s="298">
        <v>44680</v>
      </c>
      <c r="M92" s="298">
        <v>44680</v>
      </c>
      <c r="N92" s="298">
        <v>44710</v>
      </c>
      <c r="O92" s="87">
        <f>M92+30</f>
        <v>44710</v>
      </c>
      <c r="P92" s="88">
        <f t="shared" si="36"/>
        <v>6</v>
      </c>
      <c r="Q92" s="50">
        <f t="shared" si="41"/>
        <v>30</v>
      </c>
      <c r="R92" s="50">
        <f t="shared" si="37"/>
        <v>30</v>
      </c>
      <c r="S92" s="52" t="s">
        <v>320</v>
      </c>
      <c r="T92" s="87">
        <f t="shared" si="43"/>
        <v>44717</v>
      </c>
      <c r="U92" s="52">
        <v>44834</v>
      </c>
      <c r="V92" s="50">
        <v>4</v>
      </c>
      <c r="W92" s="50">
        <f t="shared" si="42"/>
        <v>3.8870431893687711</v>
      </c>
      <c r="X92" s="50"/>
      <c r="Y92" s="52"/>
      <c r="Z92" s="50"/>
      <c r="AA92" s="53">
        <v>1500000</v>
      </c>
      <c r="AB92" s="211">
        <v>0</v>
      </c>
      <c r="AC92" s="211">
        <v>0</v>
      </c>
      <c r="AD92" s="211">
        <v>0</v>
      </c>
      <c r="AE92" s="211">
        <v>0</v>
      </c>
      <c r="AF92" s="58"/>
      <c r="AG92" s="58"/>
      <c r="AH92" s="58"/>
      <c r="AI92" s="58"/>
      <c r="AJ92" s="58"/>
      <c r="AK92" s="58"/>
      <c r="AL92" s="58"/>
      <c r="AM92" s="58"/>
      <c r="AN92" s="58"/>
      <c r="AO92" s="53">
        <v>1500000</v>
      </c>
      <c r="AP92" s="47"/>
      <c r="AQ92" s="53">
        <f t="shared" si="40"/>
        <v>1500000</v>
      </c>
      <c r="AR92" s="51"/>
      <c r="AS92" s="359">
        <f>AQ92-AA92</f>
        <v>0</v>
      </c>
    </row>
    <row r="93" spans="1:47" s="36" customFormat="1" ht="15.75" x14ac:dyDescent="0.25">
      <c r="A93" s="185"/>
      <c r="B93" s="114" t="s">
        <v>949</v>
      </c>
      <c r="C93" s="432"/>
      <c r="D93" s="52" t="s">
        <v>45</v>
      </c>
      <c r="E93" s="52" t="s">
        <v>45</v>
      </c>
      <c r="F93" s="422"/>
      <c r="G93" s="57"/>
      <c r="H93" s="52"/>
      <c r="I93" s="52"/>
      <c r="J93" s="432"/>
      <c r="K93" s="298"/>
      <c r="L93" s="298"/>
      <c r="M93" s="298"/>
      <c r="N93" s="298"/>
      <c r="O93" s="87"/>
      <c r="P93" s="88"/>
      <c r="Q93" s="50"/>
      <c r="R93" s="50"/>
      <c r="S93" s="52"/>
      <c r="T93" s="87"/>
      <c r="U93" s="52">
        <v>44742</v>
      </c>
      <c r="V93" s="50">
        <v>3</v>
      </c>
      <c r="W93" s="50"/>
      <c r="X93" s="50"/>
      <c r="Y93" s="52"/>
      <c r="Z93" s="50"/>
      <c r="AA93" s="53"/>
      <c r="AB93" s="211"/>
      <c r="AC93" s="211"/>
      <c r="AD93" s="211"/>
      <c r="AE93" s="211"/>
      <c r="AF93" s="58"/>
      <c r="AG93" s="58"/>
      <c r="AH93" s="58"/>
      <c r="AI93" s="58"/>
      <c r="AJ93" s="58"/>
      <c r="AK93" s="58"/>
      <c r="AL93" s="58"/>
      <c r="AM93" s="58"/>
      <c r="AN93" s="58"/>
      <c r="AO93" s="53"/>
      <c r="AP93" s="47"/>
      <c r="AQ93" s="53"/>
      <c r="AR93" s="51"/>
      <c r="AS93" s="359"/>
    </row>
    <row r="94" spans="1:47" s="36" customFormat="1" ht="15.75" x14ac:dyDescent="0.25">
      <c r="A94" s="99"/>
      <c r="B94" s="100"/>
      <c r="C94" s="429"/>
      <c r="D94" s="429"/>
      <c r="E94" s="445"/>
      <c r="F94" s="446"/>
      <c r="G94" s="100"/>
      <c r="H94" s="91"/>
      <c r="I94" s="91"/>
      <c r="J94" s="429"/>
      <c r="K94" s="91"/>
      <c r="L94" s="91"/>
      <c r="M94" s="91"/>
      <c r="N94" s="91"/>
      <c r="O94" s="91"/>
      <c r="P94" s="92"/>
      <c r="Q94" s="91"/>
      <c r="R94" s="92"/>
      <c r="S94" s="91"/>
      <c r="T94" s="91"/>
      <c r="U94" s="91"/>
      <c r="V94" s="92"/>
      <c r="W94" s="92"/>
      <c r="X94" s="92"/>
      <c r="Y94" s="91"/>
      <c r="Z94" s="92"/>
      <c r="AA94" s="59">
        <f t="shared" ref="AA94:AO94" si="46">SUM(AA79:AA93)</f>
        <v>54577611</v>
      </c>
      <c r="AB94" s="243">
        <f t="shared" si="46"/>
        <v>0</v>
      </c>
      <c r="AC94" s="243">
        <f t="shared" si="46"/>
        <v>0</v>
      </c>
      <c r="AD94" s="243">
        <f t="shared" si="46"/>
        <v>223060</v>
      </c>
      <c r="AE94" s="243">
        <f t="shared" si="46"/>
        <v>0</v>
      </c>
      <c r="AF94" s="243">
        <f t="shared" si="46"/>
        <v>600000</v>
      </c>
      <c r="AG94" s="243">
        <f t="shared" si="46"/>
        <v>740000</v>
      </c>
      <c r="AH94" s="243">
        <f t="shared" si="46"/>
        <v>990000</v>
      </c>
      <c r="AI94" s="243">
        <f t="shared" si="46"/>
        <v>890000</v>
      </c>
      <c r="AJ94" s="243">
        <f t="shared" si="46"/>
        <v>1140000</v>
      </c>
      <c r="AK94" s="243">
        <f t="shared" si="46"/>
        <v>2640000</v>
      </c>
      <c r="AL94" s="243">
        <f t="shared" si="46"/>
        <v>2665000</v>
      </c>
      <c r="AM94" s="243">
        <f t="shared" si="46"/>
        <v>2815000</v>
      </c>
      <c r="AN94" s="243">
        <f t="shared" si="46"/>
        <v>2744000</v>
      </c>
      <c r="AO94" s="243">
        <f t="shared" si="46"/>
        <v>38730551</v>
      </c>
      <c r="AP94" s="47"/>
      <c r="AQ94" s="243">
        <f>SUM(AQ79:AQ93)</f>
        <v>54177611</v>
      </c>
      <c r="AR94" s="51"/>
      <c r="AS94" s="359">
        <f>AQ94-AA94</f>
        <v>-400000</v>
      </c>
      <c r="AT94" s="55"/>
    </row>
    <row r="95" spans="1:47" s="36" customFormat="1" ht="16.5" thickBot="1" x14ac:dyDescent="0.3">
      <c r="A95" s="34"/>
      <c r="B95" s="35"/>
      <c r="C95" s="422"/>
      <c r="D95" s="52"/>
      <c r="E95" s="474"/>
      <c r="F95" s="464"/>
      <c r="G95" s="35"/>
      <c r="H95" s="52"/>
      <c r="I95" s="52"/>
      <c r="J95" s="422"/>
      <c r="K95" s="52"/>
      <c r="L95" s="52"/>
      <c r="M95" s="52"/>
      <c r="N95" s="52"/>
      <c r="O95" s="52"/>
      <c r="P95" s="50"/>
      <c r="Q95" s="52"/>
      <c r="R95" s="50"/>
      <c r="S95" s="52"/>
      <c r="T95" s="52"/>
      <c r="U95" s="141"/>
      <c r="V95" s="142"/>
      <c r="W95" s="142"/>
      <c r="X95" s="142"/>
      <c r="Y95" s="141"/>
      <c r="Z95" s="142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4"/>
      <c r="AQ95" s="143"/>
      <c r="AR95" s="145"/>
      <c r="AS95" s="359">
        <f>AQ95-AA95</f>
        <v>0</v>
      </c>
    </row>
    <row r="96" spans="1:47" s="36" customFormat="1" ht="16.5" thickBot="1" x14ac:dyDescent="0.3">
      <c r="C96" s="37"/>
      <c r="D96" s="37"/>
      <c r="E96" s="480"/>
      <c r="F96" s="473"/>
      <c r="H96" s="37"/>
      <c r="I96" s="37"/>
      <c r="J96" s="37"/>
      <c r="K96" s="37"/>
      <c r="L96" s="37"/>
      <c r="M96" s="293"/>
      <c r="N96" s="293"/>
      <c r="O96" s="293"/>
      <c r="P96" s="38"/>
      <c r="Q96" s="293"/>
      <c r="R96" s="38"/>
      <c r="S96" s="37"/>
      <c r="T96" s="37"/>
      <c r="U96" s="338"/>
      <c r="V96" s="441"/>
      <c r="W96" s="148" t="s">
        <v>445</v>
      </c>
      <c r="X96" s="148"/>
      <c r="Y96" s="494"/>
      <c r="Z96" s="148"/>
      <c r="AA96" s="149">
        <f>SUBTOTAL(9,AA4:AA94)</f>
        <v>182424938.44999999</v>
      </c>
      <c r="AB96" s="149">
        <f>SUBTOTAL(9,AB4:AB94)</f>
        <v>26338345.969999995</v>
      </c>
      <c r="AC96" s="149">
        <f>SUBTOTAL(9,AC4:AC94)</f>
        <v>2519382.6599999997</v>
      </c>
      <c r="AD96" s="149">
        <f>SUBTOTAL(9,AD4:AD94)</f>
        <v>4816326.3600000003</v>
      </c>
      <c r="AE96" s="149">
        <f>SUBTOTAL(9,AE4:AE94)</f>
        <v>4034206.100000001</v>
      </c>
      <c r="AF96" s="149">
        <v>5161679</v>
      </c>
      <c r="AG96" s="149">
        <v>5799709</v>
      </c>
      <c r="AH96" s="149">
        <v>5992605</v>
      </c>
      <c r="AI96" s="149">
        <v>5940000</v>
      </c>
      <c r="AJ96" s="149">
        <v>6300000</v>
      </c>
      <c r="AK96" s="149">
        <v>5992200</v>
      </c>
      <c r="AL96" s="149">
        <v>5492435</v>
      </c>
      <c r="AM96" s="149">
        <v>6248440</v>
      </c>
      <c r="AN96" s="149">
        <v>5475600</v>
      </c>
      <c r="AO96" s="149">
        <f>SUBTOTAL(9,AO4:AO94)</f>
        <v>78536102</v>
      </c>
      <c r="AP96" s="150"/>
      <c r="AQ96" s="149">
        <f>SUBTOTAL(9,AQ4:AQ94)</f>
        <v>181175285.67000002</v>
      </c>
      <c r="AR96" s="153"/>
      <c r="AS96" s="359">
        <f>AQ96-AA96</f>
        <v>-1249652.7799999714</v>
      </c>
      <c r="AT96" s="55"/>
    </row>
    <row r="97" spans="1:47" s="90" customFormat="1" ht="15.75" x14ac:dyDescent="0.25">
      <c r="C97" s="122"/>
      <c r="D97" s="122"/>
      <c r="E97" s="473"/>
      <c r="F97" s="473"/>
      <c r="H97" s="122"/>
      <c r="I97" s="122"/>
      <c r="J97" s="122"/>
      <c r="K97" s="122"/>
      <c r="L97" s="122"/>
      <c r="M97" s="295"/>
      <c r="N97" s="295"/>
      <c r="O97" s="295"/>
      <c r="P97" s="296"/>
      <c r="Q97" s="295"/>
      <c r="R97" s="296"/>
      <c r="S97" s="122"/>
      <c r="T97" s="122"/>
      <c r="U97" s="123"/>
      <c r="V97" s="442"/>
      <c r="W97" s="124"/>
      <c r="X97" s="124"/>
      <c r="Y97" s="293"/>
      <c r="Z97" s="124"/>
      <c r="AA97" s="124" t="s">
        <v>405</v>
      </c>
      <c r="AB97" s="128"/>
      <c r="AC97" s="128">
        <v>3086105</v>
      </c>
      <c r="AD97" s="128">
        <v>3235500</v>
      </c>
      <c r="AE97" s="128">
        <v>4441510</v>
      </c>
      <c r="AF97" s="128">
        <v>6000000</v>
      </c>
      <c r="AG97" s="128">
        <v>6825000</v>
      </c>
      <c r="AH97" s="128">
        <v>7100000</v>
      </c>
      <c r="AI97" s="128">
        <v>7100000</v>
      </c>
      <c r="AJ97" s="128">
        <v>7000000</v>
      </c>
      <c r="AK97" s="128">
        <v>6500000</v>
      </c>
      <c r="AL97" s="128">
        <v>6500000</v>
      </c>
      <c r="AM97" s="128">
        <v>6500000</v>
      </c>
      <c r="AN97" s="128">
        <v>6500000</v>
      </c>
      <c r="AO97" s="128">
        <v>80000000</v>
      </c>
      <c r="AP97" s="146"/>
      <c r="AQ97" s="125"/>
      <c r="AR97" s="126"/>
      <c r="AS97" s="360"/>
    </row>
    <row r="98" spans="1:47" ht="15.75" x14ac:dyDescent="0.25">
      <c r="E98" s="473"/>
      <c r="F98" s="473"/>
      <c r="U98" s="75"/>
      <c r="V98" s="442"/>
      <c r="AA98" s="38" t="s">
        <v>406</v>
      </c>
      <c r="AB98" s="128"/>
      <c r="AC98" s="128">
        <f t="shared" ref="AC98:AO98" si="47">AC96-AC97</f>
        <v>-566722.34000000032</v>
      </c>
      <c r="AD98" s="128">
        <f t="shared" si="47"/>
        <v>1580826.3600000003</v>
      </c>
      <c r="AE98" s="128">
        <f t="shared" si="47"/>
        <v>-407303.89999999898</v>
      </c>
      <c r="AF98" s="128">
        <f t="shared" si="47"/>
        <v>-838321</v>
      </c>
      <c r="AG98" s="128">
        <f t="shared" si="47"/>
        <v>-1025291</v>
      </c>
      <c r="AH98" s="128">
        <f t="shared" si="47"/>
        <v>-1107395</v>
      </c>
      <c r="AI98" s="128">
        <f t="shared" si="47"/>
        <v>-1160000</v>
      </c>
      <c r="AJ98" s="128">
        <f t="shared" si="47"/>
        <v>-700000</v>
      </c>
      <c r="AK98" s="128">
        <f t="shared" si="47"/>
        <v>-507800</v>
      </c>
      <c r="AL98" s="128">
        <f t="shared" si="47"/>
        <v>-1007565</v>
      </c>
      <c r="AM98" s="128">
        <f t="shared" si="47"/>
        <v>-251560</v>
      </c>
      <c r="AN98" s="128">
        <f t="shared" si="47"/>
        <v>-1024400</v>
      </c>
      <c r="AO98" s="128">
        <f t="shared" si="47"/>
        <v>-1463898</v>
      </c>
      <c r="AP98" s="47"/>
      <c r="AQ98" s="76"/>
      <c r="AR98" s="77"/>
      <c r="AS98" s="360"/>
    </row>
    <row r="99" spans="1:47" ht="15.75" x14ac:dyDescent="0.25">
      <c r="E99" s="473"/>
      <c r="F99" s="473"/>
      <c r="AA99" s="3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379">
        <v>2021</v>
      </c>
      <c r="AO99" s="130">
        <v>45000000</v>
      </c>
      <c r="AP99" s="47"/>
      <c r="AS99" s="360"/>
    </row>
    <row r="100" spans="1:47" s="36" customFormat="1" ht="15.75" x14ac:dyDescent="0.25">
      <c r="A100" s="106" t="s">
        <v>938</v>
      </c>
      <c r="B100" s="381"/>
      <c r="C100" s="101"/>
      <c r="D100" s="101"/>
      <c r="E100" s="445"/>
      <c r="F100" s="445"/>
      <c r="G100" s="381"/>
      <c r="H100" s="102"/>
      <c r="I100" s="102"/>
      <c r="J100" s="101"/>
      <c r="K100" s="102"/>
      <c r="L100" s="102"/>
      <c r="M100" s="276"/>
      <c r="N100" s="276"/>
      <c r="O100" s="276"/>
      <c r="P100" s="84"/>
      <c r="Q100" s="276"/>
      <c r="R100" s="84"/>
      <c r="S100" s="102"/>
      <c r="T100" s="102"/>
      <c r="U100" s="102"/>
      <c r="V100" s="84"/>
      <c r="W100" s="84"/>
      <c r="X100" s="84"/>
      <c r="Y100" s="276"/>
      <c r="Z100" s="84"/>
      <c r="AA100" s="19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47"/>
      <c r="AQ100" s="85"/>
      <c r="AR100" s="51"/>
      <c r="AS100" s="359">
        <f t="shared" ref="AS100:AS106" si="48">AQ100-AA100</f>
        <v>0</v>
      </c>
    </row>
    <row r="101" spans="1:47" s="36" customFormat="1" ht="15.75" x14ac:dyDescent="0.25">
      <c r="A101" s="319" t="s">
        <v>65</v>
      </c>
      <c r="B101" s="319" t="s">
        <v>531</v>
      </c>
      <c r="C101" s="425" t="s">
        <v>812</v>
      </c>
      <c r="D101" s="425"/>
      <c r="E101" s="321" t="s">
        <v>873</v>
      </c>
      <c r="F101" s="321" t="s">
        <v>24</v>
      </c>
      <c r="G101" s="319" t="s">
        <v>67</v>
      </c>
      <c r="H101" s="321" t="s">
        <v>46</v>
      </c>
      <c r="I101" s="321">
        <v>43979</v>
      </c>
      <c r="J101" s="425"/>
      <c r="K101" s="332" t="s">
        <v>370</v>
      </c>
      <c r="L101" s="321">
        <v>43929</v>
      </c>
      <c r="M101" s="332">
        <v>43929</v>
      </c>
      <c r="N101" s="339">
        <v>44004</v>
      </c>
      <c r="O101" s="332">
        <v>44004</v>
      </c>
      <c r="P101" s="343" t="e">
        <f t="shared" ref="P101:P106" si="49">O101-K101</f>
        <v>#VALUE!</v>
      </c>
      <c r="Q101" s="371">
        <f t="shared" ref="Q101:R106" si="50">N101-L101</f>
        <v>75</v>
      </c>
      <c r="R101" s="343">
        <f t="shared" si="50"/>
        <v>75</v>
      </c>
      <c r="S101" s="321" t="s">
        <v>370</v>
      </c>
      <c r="T101" s="332">
        <v>44004</v>
      </c>
      <c r="U101" s="321">
        <v>44469</v>
      </c>
      <c r="V101" s="322">
        <v>15</v>
      </c>
      <c r="W101" s="322">
        <f>((U101-T101)/7)/4.3</f>
        <v>15.448504983388705</v>
      </c>
      <c r="X101" s="322"/>
      <c r="Y101" s="321"/>
      <c r="Z101" s="322" t="s">
        <v>370</v>
      </c>
      <c r="AA101" s="323">
        <v>2482029.5100000002</v>
      </c>
      <c r="AB101" s="211">
        <v>2482029.5099999998</v>
      </c>
      <c r="AC101" s="115">
        <v>0</v>
      </c>
      <c r="AD101" s="115">
        <v>0</v>
      </c>
      <c r="AE101" s="115">
        <v>0</v>
      </c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47"/>
      <c r="AQ101" s="53">
        <f t="shared" ref="AQ101:AQ106" si="51">SUM(AB101:AP101)</f>
        <v>2482029.5099999998</v>
      </c>
      <c r="AR101" s="51"/>
      <c r="AS101" s="359">
        <f t="shared" si="48"/>
        <v>0</v>
      </c>
    </row>
    <row r="102" spans="1:47" s="36" customFormat="1" ht="15.75" x14ac:dyDescent="0.25">
      <c r="A102" s="319" t="s">
        <v>383</v>
      </c>
      <c r="B102" s="319" t="s">
        <v>384</v>
      </c>
      <c r="C102" s="428" t="s">
        <v>91</v>
      </c>
      <c r="D102" s="428"/>
      <c r="E102" s="321" t="s">
        <v>873</v>
      </c>
      <c r="F102" s="321" t="s">
        <v>24</v>
      </c>
      <c r="G102" s="369" t="s">
        <v>89</v>
      </c>
      <c r="H102" s="321" t="s">
        <v>46</v>
      </c>
      <c r="I102" s="321">
        <v>44287</v>
      </c>
      <c r="J102" s="428"/>
      <c r="K102" s="332" t="s">
        <v>370</v>
      </c>
      <c r="L102" s="321">
        <v>44071</v>
      </c>
      <c r="M102" s="332">
        <v>44071</v>
      </c>
      <c r="N102" s="339">
        <v>44260</v>
      </c>
      <c r="O102" s="332">
        <v>44260</v>
      </c>
      <c r="P102" s="343" t="e">
        <f t="shared" si="49"/>
        <v>#VALUE!</v>
      </c>
      <c r="Q102" s="371">
        <f t="shared" si="50"/>
        <v>189</v>
      </c>
      <c r="R102" s="343">
        <f t="shared" si="50"/>
        <v>189</v>
      </c>
      <c r="S102" s="321" t="s">
        <v>370</v>
      </c>
      <c r="T102" s="332">
        <v>44290</v>
      </c>
      <c r="U102" s="321">
        <v>44484</v>
      </c>
      <c r="V102" s="322">
        <v>6</v>
      </c>
      <c r="W102" s="322">
        <f>((U102-T102)/7)/4.3</f>
        <v>6.4451827242524926</v>
      </c>
      <c r="X102" s="322"/>
      <c r="Y102" s="321"/>
      <c r="Z102" s="322" t="s">
        <v>370</v>
      </c>
      <c r="AA102" s="323">
        <v>712367.42999999993</v>
      </c>
      <c r="AB102" s="211">
        <v>712367.42999999993</v>
      </c>
      <c r="AC102" s="115">
        <v>0</v>
      </c>
      <c r="AD102" s="115">
        <v>0</v>
      </c>
      <c r="AE102" s="115">
        <v>0</v>
      </c>
      <c r="AF102" s="58"/>
      <c r="AG102" s="58"/>
      <c r="AH102" s="58"/>
      <c r="AI102" s="58"/>
      <c r="AJ102" s="58"/>
      <c r="AK102" s="58"/>
      <c r="AL102" s="58"/>
      <c r="AM102" s="58"/>
      <c r="AN102" s="58"/>
      <c r="AO102" s="53"/>
      <c r="AP102" s="47"/>
      <c r="AQ102" s="53">
        <f t="shared" si="51"/>
        <v>712367.42999999993</v>
      </c>
      <c r="AR102" s="51"/>
      <c r="AS102" s="359">
        <f t="shared" si="48"/>
        <v>0</v>
      </c>
      <c r="AU102" s="55"/>
    </row>
    <row r="103" spans="1:47" s="36" customFormat="1" ht="15.75" x14ac:dyDescent="0.25">
      <c r="A103" s="319" t="s">
        <v>92</v>
      </c>
      <c r="B103" s="319" t="s">
        <v>543</v>
      </c>
      <c r="C103" s="428" t="s">
        <v>95</v>
      </c>
      <c r="D103" s="428"/>
      <c r="E103" s="321" t="s">
        <v>873</v>
      </c>
      <c r="F103" s="321" t="s">
        <v>24</v>
      </c>
      <c r="G103" s="319" t="s">
        <v>94</v>
      </c>
      <c r="H103" s="321" t="s">
        <v>46</v>
      </c>
      <c r="I103" s="321" t="s">
        <v>370</v>
      </c>
      <c r="J103" s="428"/>
      <c r="K103" s="332" t="s">
        <v>370</v>
      </c>
      <c r="L103" s="321">
        <v>44120</v>
      </c>
      <c r="M103" s="332">
        <v>44120</v>
      </c>
      <c r="N103" s="339">
        <v>44246</v>
      </c>
      <c r="O103" s="332">
        <v>44246</v>
      </c>
      <c r="P103" s="343" t="e">
        <f t="shared" si="49"/>
        <v>#VALUE!</v>
      </c>
      <c r="Q103" s="371">
        <f t="shared" si="50"/>
        <v>126</v>
      </c>
      <c r="R103" s="343">
        <f t="shared" si="50"/>
        <v>126</v>
      </c>
      <c r="S103" s="321" t="s">
        <v>370</v>
      </c>
      <c r="T103" s="332">
        <v>44256</v>
      </c>
      <c r="U103" s="321">
        <v>44557</v>
      </c>
      <c r="V103" s="322">
        <v>10</v>
      </c>
      <c r="W103" s="322">
        <f>((U103-T103)/7)/4.3</f>
        <v>10</v>
      </c>
      <c r="X103" s="322"/>
      <c r="Y103" s="321"/>
      <c r="Z103" s="322" t="s">
        <v>370</v>
      </c>
      <c r="AA103" s="323">
        <v>1436404.19</v>
      </c>
      <c r="AB103" s="211">
        <v>1436404.19</v>
      </c>
      <c r="AC103" s="115">
        <v>0</v>
      </c>
      <c r="AD103" s="115">
        <v>0</v>
      </c>
      <c r="AE103" s="115">
        <v>0</v>
      </c>
      <c r="AF103" s="58"/>
      <c r="AG103" s="58"/>
      <c r="AH103" s="58"/>
      <c r="AI103" s="58"/>
      <c r="AJ103" s="58"/>
      <c r="AK103" s="58"/>
      <c r="AL103" s="58"/>
      <c r="AM103" s="58"/>
      <c r="AN103" s="58"/>
      <c r="AO103" s="53"/>
      <c r="AP103" s="47"/>
      <c r="AQ103" s="53">
        <f t="shared" si="51"/>
        <v>1436404.19</v>
      </c>
      <c r="AR103" s="51"/>
      <c r="AS103" s="359">
        <f t="shared" si="48"/>
        <v>0</v>
      </c>
      <c r="AU103" s="55"/>
    </row>
    <row r="104" spans="1:47" s="36" customFormat="1" ht="15.75" x14ac:dyDescent="0.25">
      <c r="A104" s="319" t="s">
        <v>96</v>
      </c>
      <c r="B104" s="319" t="s">
        <v>97</v>
      </c>
      <c r="C104" s="428" t="s">
        <v>95</v>
      </c>
      <c r="D104" s="428"/>
      <c r="E104" s="321" t="s">
        <v>873</v>
      </c>
      <c r="F104" s="321" t="s">
        <v>24</v>
      </c>
      <c r="G104" s="319" t="s">
        <v>98</v>
      </c>
      <c r="H104" s="321" t="s">
        <v>46</v>
      </c>
      <c r="I104" s="321">
        <v>44215</v>
      </c>
      <c r="J104" s="428"/>
      <c r="K104" s="332" t="s">
        <v>370</v>
      </c>
      <c r="L104" s="321">
        <v>44168</v>
      </c>
      <c r="M104" s="332">
        <v>44168</v>
      </c>
      <c r="N104" s="339">
        <v>44280</v>
      </c>
      <c r="O104" s="332">
        <v>44280</v>
      </c>
      <c r="P104" s="343" t="e">
        <f t="shared" si="49"/>
        <v>#VALUE!</v>
      </c>
      <c r="Q104" s="371">
        <f t="shared" si="50"/>
        <v>112</v>
      </c>
      <c r="R104" s="343">
        <f t="shared" si="50"/>
        <v>112</v>
      </c>
      <c r="S104" s="321" t="s">
        <v>370</v>
      </c>
      <c r="T104" s="332">
        <v>44284</v>
      </c>
      <c r="U104" s="321">
        <v>44524.800000000003</v>
      </c>
      <c r="V104" s="322">
        <v>8</v>
      </c>
      <c r="W104" s="322">
        <f>((U104-T104)/7)/4.3</f>
        <v>8.0000000000000977</v>
      </c>
      <c r="X104" s="322"/>
      <c r="Y104" s="321"/>
      <c r="Z104" s="322" t="s">
        <v>370</v>
      </c>
      <c r="AA104" s="323">
        <v>648252.98</v>
      </c>
      <c r="AB104" s="211">
        <v>648252.97999999986</v>
      </c>
      <c r="AC104" s="115">
        <v>0</v>
      </c>
      <c r="AD104" s="115">
        <v>0</v>
      </c>
      <c r="AE104" s="115">
        <v>0</v>
      </c>
      <c r="AF104" s="58"/>
      <c r="AG104" s="58"/>
      <c r="AH104" s="58"/>
      <c r="AI104" s="58"/>
      <c r="AJ104" s="58"/>
      <c r="AK104" s="58"/>
      <c r="AL104" s="58"/>
      <c r="AM104" s="58"/>
      <c r="AN104" s="58"/>
      <c r="AO104" s="53"/>
      <c r="AP104" s="47"/>
      <c r="AQ104" s="53">
        <f t="shared" si="51"/>
        <v>648252.97999999986</v>
      </c>
      <c r="AR104" s="51"/>
      <c r="AS104" s="359">
        <f t="shared" si="48"/>
        <v>0</v>
      </c>
      <c r="AU104" s="55"/>
    </row>
    <row r="105" spans="1:47" s="36" customFormat="1" ht="15.75" x14ac:dyDescent="0.25">
      <c r="A105" s="319" t="s">
        <v>99</v>
      </c>
      <c r="B105" s="319" t="s">
        <v>100</v>
      </c>
      <c r="C105" s="428" t="s">
        <v>95</v>
      </c>
      <c r="D105" s="428"/>
      <c r="E105" s="321" t="s">
        <v>873</v>
      </c>
      <c r="F105" s="321" t="s">
        <v>24</v>
      </c>
      <c r="G105" s="319" t="s">
        <v>101</v>
      </c>
      <c r="H105" s="321" t="s">
        <v>46</v>
      </c>
      <c r="I105" s="321">
        <v>44215</v>
      </c>
      <c r="J105" s="428"/>
      <c r="K105" s="332" t="s">
        <v>370</v>
      </c>
      <c r="L105" s="321">
        <v>44168</v>
      </c>
      <c r="M105" s="332">
        <v>44168</v>
      </c>
      <c r="N105" s="339">
        <v>44280</v>
      </c>
      <c r="O105" s="332">
        <v>44280</v>
      </c>
      <c r="P105" s="343" t="e">
        <f t="shared" si="49"/>
        <v>#VALUE!</v>
      </c>
      <c r="Q105" s="371">
        <f t="shared" si="50"/>
        <v>112</v>
      </c>
      <c r="R105" s="343">
        <f t="shared" si="50"/>
        <v>112</v>
      </c>
      <c r="S105" s="321" t="s">
        <v>370</v>
      </c>
      <c r="T105" s="332">
        <v>44284</v>
      </c>
      <c r="U105" s="321">
        <v>44524</v>
      </c>
      <c r="V105" s="322">
        <v>8</v>
      </c>
      <c r="W105" s="322">
        <f>((U105-T105)/7)/4.3</f>
        <v>7.9734219269102988</v>
      </c>
      <c r="X105" s="322"/>
      <c r="Y105" s="321"/>
      <c r="Z105" s="322" t="s">
        <v>370</v>
      </c>
      <c r="AA105" s="323">
        <v>400186.6</v>
      </c>
      <c r="AB105" s="211">
        <v>400186.6</v>
      </c>
      <c r="AC105" s="115">
        <v>0</v>
      </c>
      <c r="AD105" s="115">
        <v>0</v>
      </c>
      <c r="AE105" s="115">
        <v>0</v>
      </c>
      <c r="AF105" s="58"/>
      <c r="AG105" s="58"/>
      <c r="AH105" s="58"/>
      <c r="AI105" s="58"/>
      <c r="AJ105" s="58"/>
      <c r="AK105" s="58"/>
      <c r="AL105" s="58"/>
      <c r="AM105" s="58"/>
      <c r="AN105" s="58"/>
      <c r="AO105" s="53"/>
      <c r="AP105" s="47"/>
      <c r="AQ105" s="53">
        <f t="shared" si="51"/>
        <v>400186.6</v>
      </c>
      <c r="AR105" s="51"/>
      <c r="AS105" s="359">
        <f t="shared" si="48"/>
        <v>0</v>
      </c>
      <c r="AU105" s="55"/>
    </row>
    <row r="106" spans="1:47" s="36" customFormat="1" ht="15.75" x14ac:dyDescent="0.25">
      <c r="A106" s="319" t="s">
        <v>800</v>
      </c>
      <c r="B106" s="319" t="s">
        <v>937</v>
      </c>
      <c r="C106" s="425" t="s">
        <v>811</v>
      </c>
      <c r="D106" s="425"/>
      <c r="E106" s="321" t="s">
        <v>873</v>
      </c>
      <c r="F106" s="321" t="s">
        <v>890</v>
      </c>
      <c r="G106" s="366" t="s">
        <v>862</v>
      </c>
      <c r="H106" s="321" t="s">
        <v>623</v>
      </c>
      <c r="I106" s="321" t="s">
        <v>370</v>
      </c>
      <c r="J106" s="425"/>
      <c r="K106" s="332">
        <v>44566</v>
      </c>
      <c r="L106" s="321"/>
      <c r="M106" s="321"/>
      <c r="N106" s="321"/>
      <c r="O106" s="321"/>
      <c r="P106" s="322">
        <f t="shared" si="49"/>
        <v>-44566</v>
      </c>
      <c r="Q106" s="322">
        <f t="shared" si="50"/>
        <v>0</v>
      </c>
      <c r="R106" s="322">
        <f t="shared" si="50"/>
        <v>0</v>
      </c>
      <c r="S106" s="321" t="s">
        <v>320</v>
      </c>
      <c r="T106" s="321"/>
      <c r="U106" s="321"/>
      <c r="V106" s="322"/>
      <c r="W106" s="521"/>
      <c r="X106" s="322"/>
      <c r="Y106" s="321"/>
      <c r="Z106" s="322"/>
      <c r="AA106" s="275"/>
      <c r="AB106" s="211">
        <v>0</v>
      </c>
      <c r="AC106" s="115">
        <v>0</v>
      </c>
      <c r="AD106" s="115">
        <v>0</v>
      </c>
      <c r="AE106" s="115">
        <v>0</v>
      </c>
      <c r="AF106" s="58"/>
      <c r="AG106" s="58"/>
      <c r="AH106" s="58"/>
      <c r="AI106" s="58"/>
      <c r="AJ106" s="58"/>
      <c r="AK106" s="58"/>
      <c r="AL106" s="58"/>
      <c r="AM106" s="58"/>
      <c r="AN106" s="58"/>
      <c r="AO106" s="53"/>
      <c r="AP106" s="47"/>
      <c r="AQ106" s="53">
        <f t="shared" si="51"/>
        <v>0</v>
      </c>
      <c r="AR106" s="51"/>
      <c r="AS106" s="359">
        <f t="shared" si="48"/>
        <v>0</v>
      </c>
    </row>
    <row r="107" spans="1:47" s="36" customFormat="1" ht="15.75" x14ac:dyDescent="0.25">
      <c r="A107" s="319" t="s">
        <v>800</v>
      </c>
      <c r="B107" s="319" t="s">
        <v>798</v>
      </c>
      <c r="C107" s="321" t="s">
        <v>813</v>
      </c>
      <c r="D107" s="321"/>
      <c r="E107" s="321" t="s">
        <v>45</v>
      </c>
      <c r="F107" s="428" t="s">
        <v>890</v>
      </c>
      <c r="G107" s="366" t="s">
        <v>864</v>
      </c>
      <c r="H107" s="321" t="s">
        <v>623</v>
      </c>
      <c r="I107" s="332" t="s">
        <v>24</v>
      </c>
      <c r="J107" s="425"/>
      <c r="K107" s="332" t="s">
        <v>24</v>
      </c>
      <c r="L107" s="332" t="s">
        <v>24</v>
      </c>
      <c r="M107" s="332" t="s">
        <v>24</v>
      </c>
      <c r="N107" s="332" t="s">
        <v>24</v>
      </c>
      <c r="O107" s="332" t="s">
        <v>24</v>
      </c>
      <c r="P107" s="332" t="s">
        <v>24</v>
      </c>
      <c r="Q107" s="332" t="s">
        <v>24</v>
      </c>
      <c r="R107" s="332" t="s">
        <v>24</v>
      </c>
      <c r="S107" s="343" t="s">
        <v>24</v>
      </c>
      <c r="T107" s="343" t="s">
        <v>24</v>
      </c>
      <c r="U107" s="343" t="s">
        <v>24</v>
      </c>
      <c r="V107" s="343" t="s">
        <v>24</v>
      </c>
      <c r="W107" s="343" t="s">
        <v>24</v>
      </c>
      <c r="X107" s="343" t="s">
        <v>24</v>
      </c>
      <c r="Y107" s="343" t="s">
        <v>24</v>
      </c>
      <c r="Z107" s="343" t="s">
        <v>24</v>
      </c>
      <c r="AA107" s="53"/>
      <c r="AB107" s="211">
        <v>0</v>
      </c>
      <c r="AC107" s="211">
        <v>0</v>
      </c>
      <c r="AD107" s="211">
        <v>0</v>
      </c>
      <c r="AE107" s="211">
        <v>0</v>
      </c>
      <c r="AF107" s="58"/>
      <c r="AG107" s="58"/>
      <c r="AH107" s="58"/>
      <c r="AI107" s="58"/>
      <c r="AJ107" s="58"/>
      <c r="AK107" s="58"/>
      <c r="AL107" s="58"/>
      <c r="AM107" s="58"/>
      <c r="AN107" s="58"/>
      <c r="AO107" s="53"/>
      <c r="AP107" s="47"/>
      <c r="AQ107" s="53">
        <f>SUM(AB107:AP107)</f>
        <v>0</v>
      </c>
      <c r="AR107" s="51"/>
      <c r="AS107" s="359">
        <f>AQ107-AA107</f>
        <v>0</v>
      </c>
    </row>
    <row r="108" spans="1:47" ht="15.75" x14ac:dyDescent="0.25">
      <c r="E108" s="473"/>
      <c r="F108" s="473"/>
      <c r="U108" s="75"/>
      <c r="V108" s="442"/>
      <c r="AA108" s="38"/>
      <c r="AB108" s="138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379"/>
      <c r="AO108" s="130"/>
      <c r="AP108" s="47"/>
      <c r="AQ108" s="76"/>
      <c r="AR108" s="77"/>
      <c r="AS108" s="360"/>
    </row>
    <row r="109" spans="1:47" ht="15.75" x14ac:dyDescent="0.25">
      <c r="E109" s="473"/>
      <c r="F109" s="473"/>
      <c r="U109" s="75"/>
      <c r="V109" s="442"/>
      <c r="AA109" s="38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379"/>
      <c r="AO109" s="130"/>
      <c r="AP109" s="47"/>
      <c r="AQ109" s="76"/>
      <c r="AR109" s="77"/>
      <c r="AS109" s="360"/>
    </row>
    <row r="110" spans="1:47" ht="15.75" x14ac:dyDescent="0.25">
      <c r="E110" s="473"/>
      <c r="F110" s="473"/>
      <c r="U110" s="75"/>
      <c r="V110" s="442"/>
      <c r="AA110" s="38"/>
      <c r="AB110" s="138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379"/>
      <c r="AO110" s="130"/>
      <c r="AP110" s="47"/>
      <c r="AQ110" s="76"/>
      <c r="AR110" s="77"/>
      <c r="AS110" s="360"/>
    </row>
    <row r="111" spans="1:47" ht="15.75" x14ac:dyDescent="0.25">
      <c r="E111" s="473"/>
      <c r="F111" s="473"/>
      <c r="AA111" s="3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379"/>
      <c r="AO111" s="130"/>
      <c r="AP111" s="47"/>
      <c r="AS111" s="360"/>
    </row>
    <row r="112" spans="1:47" ht="15.75" x14ac:dyDescent="0.25">
      <c r="E112" s="473"/>
      <c r="F112" s="473"/>
      <c r="AA112" s="3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130"/>
      <c r="AP112" s="47"/>
      <c r="AS112" s="360"/>
    </row>
    <row r="113" spans="1:45" ht="15.75" x14ac:dyDescent="0.25">
      <c r="E113" s="473"/>
      <c r="F113" s="473"/>
      <c r="AA113" s="38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0"/>
      <c r="AP113" s="47"/>
      <c r="AS113" s="360"/>
    </row>
    <row r="114" spans="1:45" ht="15.75" x14ac:dyDescent="0.25">
      <c r="E114" s="473"/>
      <c r="F114" s="473"/>
      <c r="U114" s="75"/>
      <c r="V114" s="442"/>
      <c r="AA114" s="38"/>
      <c r="AB114" s="128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47"/>
      <c r="AQ114" s="76"/>
      <c r="AR114" s="77"/>
    </row>
    <row r="115" spans="1:45" ht="15.75" x14ac:dyDescent="0.25">
      <c r="E115" s="473"/>
      <c r="F115" s="473"/>
      <c r="AA115" s="3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130"/>
      <c r="AP115" s="47"/>
    </row>
    <row r="116" spans="1:45" s="78" customFormat="1" ht="15.75" x14ac:dyDescent="0.25">
      <c r="A116"/>
      <c r="B116"/>
      <c r="C116" s="74"/>
      <c r="D116" s="74"/>
      <c r="E116" s="473"/>
      <c r="F116" s="473"/>
      <c r="G116"/>
      <c r="H116" s="74"/>
      <c r="I116" s="74"/>
      <c r="J116" s="74"/>
      <c r="K116" s="74"/>
      <c r="L116" s="74"/>
      <c r="M116" s="295"/>
      <c r="N116" s="295"/>
      <c r="O116" s="295"/>
      <c r="P116" s="296"/>
      <c r="Q116" s="295"/>
      <c r="R116" s="296"/>
      <c r="S116" s="74"/>
      <c r="T116" s="74"/>
      <c r="U116" s="74"/>
      <c r="V116" s="296"/>
      <c r="W116" s="38"/>
      <c r="X116" s="38"/>
      <c r="Y116" s="293"/>
      <c r="Z116" s="38"/>
      <c r="AA116" s="3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130"/>
      <c r="AP116" s="47"/>
      <c r="AR116" s="79"/>
      <c r="AS116" s="361"/>
    </row>
    <row r="117" spans="1:45" s="78" customFormat="1" ht="15.75" x14ac:dyDescent="0.25">
      <c r="A117"/>
      <c r="B117"/>
      <c r="C117" s="74"/>
      <c r="D117" s="74"/>
      <c r="E117" s="473"/>
      <c r="F117" s="473"/>
      <c r="G117"/>
      <c r="H117" s="74"/>
      <c r="I117" s="74"/>
      <c r="J117" s="74"/>
      <c r="K117" s="74"/>
      <c r="L117" s="74"/>
      <c r="M117" s="295"/>
      <c r="N117" s="295"/>
      <c r="O117" s="295"/>
      <c r="P117" s="296"/>
      <c r="Q117" s="295"/>
      <c r="R117" s="296"/>
      <c r="S117" s="74"/>
      <c r="T117" s="74"/>
      <c r="U117" s="74"/>
      <c r="V117" s="296"/>
      <c r="W117" s="38"/>
      <c r="X117" s="38"/>
      <c r="Y117" s="293"/>
      <c r="Z117" s="38"/>
      <c r="AA117" s="3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130"/>
      <c r="AP117" s="47"/>
      <c r="AR117" s="79"/>
      <c r="AS117" s="361"/>
    </row>
    <row r="118" spans="1:45" s="78" customFormat="1" ht="15.75" x14ac:dyDescent="0.25">
      <c r="A118"/>
      <c r="B118"/>
      <c r="C118" s="74"/>
      <c r="D118" s="74"/>
      <c r="E118" s="473"/>
      <c r="F118" s="473"/>
      <c r="G118"/>
      <c r="H118" s="74"/>
      <c r="I118" s="74"/>
      <c r="J118" s="74"/>
      <c r="K118" s="74"/>
      <c r="L118" s="74"/>
      <c r="M118" s="295"/>
      <c r="N118" s="295"/>
      <c r="O118" s="295"/>
      <c r="P118" s="296"/>
      <c r="Q118" s="295"/>
      <c r="R118" s="296"/>
      <c r="S118" s="74"/>
      <c r="T118" s="74"/>
      <c r="U118" s="74"/>
      <c r="V118" s="296"/>
      <c r="W118" s="38"/>
      <c r="X118" s="38"/>
      <c r="Y118" s="293"/>
      <c r="Z118" s="38"/>
      <c r="AA118" s="38"/>
      <c r="AB118" s="131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130"/>
      <c r="AP118" s="47"/>
      <c r="AR118" s="79"/>
      <c r="AS118" s="361"/>
    </row>
    <row r="119" spans="1:45" ht="15.75" x14ac:dyDescent="0.25">
      <c r="E119" s="473"/>
      <c r="F119" s="473"/>
      <c r="U119" s="75"/>
      <c r="V119" s="442"/>
      <c r="AA119" s="38"/>
      <c r="AB119" s="128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47"/>
      <c r="AQ119" s="76"/>
      <c r="AR119" s="77"/>
    </row>
    <row r="120" spans="1:45" ht="15.75" x14ac:dyDescent="0.25">
      <c r="E120" s="483"/>
      <c r="F120" s="483"/>
      <c r="U120" s="75"/>
      <c r="V120" s="442"/>
      <c r="AA120" s="38"/>
      <c r="AB120" s="128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47"/>
      <c r="AQ120" s="76"/>
      <c r="AR120" s="77"/>
    </row>
    <row r="121" spans="1:45" s="36" customFormat="1" ht="15.75" x14ac:dyDescent="0.25">
      <c r="A121" s="106" t="s">
        <v>582</v>
      </c>
      <c r="B121" s="107"/>
      <c r="C121" s="101"/>
      <c r="D121" s="101"/>
      <c r="E121" s="101"/>
      <c r="F121" s="101"/>
      <c r="G121" s="107"/>
      <c r="H121" s="102"/>
      <c r="I121" s="102"/>
      <c r="J121" s="101"/>
      <c r="K121" s="102"/>
      <c r="L121" s="102"/>
      <c r="M121" s="276"/>
      <c r="N121" s="276"/>
      <c r="O121" s="276"/>
      <c r="P121" s="84"/>
      <c r="Q121" s="276"/>
      <c r="R121" s="84"/>
      <c r="S121" s="102"/>
      <c r="T121" s="102"/>
      <c r="U121" s="102"/>
      <c r="V121" s="84"/>
      <c r="W121" s="84"/>
      <c r="X121" s="84"/>
      <c r="Y121" s="276"/>
      <c r="Z121" s="84"/>
      <c r="AA121" s="19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47"/>
      <c r="AQ121" s="85"/>
      <c r="AR121" s="51"/>
      <c r="AS121" s="359">
        <f t="shared" ref="AS121:AS156" si="52">AQ121-AA121</f>
        <v>0</v>
      </c>
    </row>
    <row r="122" spans="1:45" s="36" customFormat="1" ht="15.75" x14ac:dyDescent="0.25">
      <c r="A122" s="34" t="s">
        <v>430</v>
      </c>
      <c r="B122" s="34" t="s">
        <v>431</v>
      </c>
      <c r="C122" s="341"/>
      <c r="D122" s="341"/>
      <c r="E122" s="341" t="s">
        <v>581</v>
      </c>
      <c r="F122" s="341"/>
      <c r="G122" s="341"/>
      <c r="H122" s="52" t="s">
        <v>581</v>
      </c>
      <c r="I122" s="341"/>
      <c r="J122" s="341"/>
      <c r="K122" s="341"/>
      <c r="L122" s="341"/>
      <c r="M122" s="341"/>
      <c r="N122" s="341"/>
      <c r="O122" s="341"/>
      <c r="P122" s="342"/>
      <c r="Q122" s="341"/>
      <c r="R122" s="341"/>
      <c r="S122" s="341"/>
      <c r="T122" s="341"/>
      <c r="U122" s="341"/>
      <c r="V122" s="342"/>
      <c r="W122" s="341"/>
      <c r="X122" s="341"/>
      <c r="Y122" s="341"/>
      <c r="Z122" s="52"/>
      <c r="AA122" s="182">
        <v>137906</v>
      </c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3"/>
      <c r="AP122" s="47"/>
      <c r="AQ122" s="53">
        <f t="shared" ref="AQ122:AQ143" si="53">SUM(AB122:AP122)</f>
        <v>0</v>
      </c>
      <c r="AR122" s="51"/>
      <c r="AS122" s="359">
        <f t="shared" si="52"/>
        <v>-137906</v>
      </c>
    </row>
    <row r="123" spans="1:45" s="36" customFormat="1" ht="15.75" x14ac:dyDescent="0.25">
      <c r="A123" s="60" t="s">
        <v>432</v>
      </c>
      <c r="B123" s="61" t="s">
        <v>433</v>
      </c>
      <c r="C123" s="341"/>
      <c r="D123" s="341"/>
      <c r="E123" s="341" t="s">
        <v>581</v>
      </c>
      <c r="F123" s="341"/>
      <c r="G123" s="341"/>
      <c r="H123" s="52" t="s">
        <v>581</v>
      </c>
      <c r="I123" s="341"/>
      <c r="J123" s="341"/>
      <c r="K123" s="341"/>
      <c r="L123" s="341"/>
      <c r="M123" s="341"/>
      <c r="N123" s="341"/>
      <c r="O123" s="341"/>
      <c r="P123" s="342"/>
      <c r="Q123" s="341"/>
      <c r="R123" s="341"/>
      <c r="S123" s="341"/>
      <c r="T123" s="341"/>
      <c r="U123" s="341"/>
      <c r="V123" s="342"/>
      <c r="W123" s="341"/>
      <c r="X123" s="341"/>
      <c r="Y123" s="341"/>
      <c r="Z123" s="52"/>
      <c r="AA123" s="182">
        <v>136537</v>
      </c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3"/>
      <c r="AP123" s="47"/>
      <c r="AQ123" s="53">
        <f t="shared" si="53"/>
        <v>0</v>
      </c>
      <c r="AR123" s="51"/>
      <c r="AS123" s="359">
        <f t="shared" si="52"/>
        <v>-136537</v>
      </c>
    </row>
    <row r="124" spans="1:45" s="36" customFormat="1" ht="15.75" x14ac:dyDescent="0.25">
      <c r="A124" s="111" t="s">
        <v>558</v>
      </c>
      <c r="B124" s="112" t="s">
        <v>641</v>
      </c>
      <c r="C124" s="341"/>
      <c r="D124" s="341"/>
      <c r="E124" s="445" t="s">
        <v>319</v>
      </c>
      <c r="F124" s="341"/>
      <c r="G124" s="341"/>
      <c r="H124" s="310" t="s">
        <v>319</v>
      </c>
      <c r="I124" s="341"/>
      <c r="J124" s="341"/>
      <c r="K124" s="341"/>
      <c r="L124" s="341"/>
      <c r="M124" s="341"/>
      <c r="N124" s="341"/>
      <c r="O124" s="341"/>
      <c r="P124" s="342"/>
      <c r="Q124" s="341"/>
      <c r="R124" s="341"/>
      <c r="S124" s="341"/>
      <c r="T124" s="341"/>
      <c r="U124" s="341"/>
      <c r="V124" s="342"/>
      <c r="W124" s="341"/>
      <c r="X124" s="341"/>
      <c r="Y124" s="341"/>
      <c r="Z124" s="310"/>
      <c r="AA124" s="306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3"/>
      <c r="AP124" s="47"/>
      <c r="AQ124" s="53">
        <f t="shared" si="53"/>
        <v>0</v>
      </c>
      <c r="AR124" s="51"/>
      <c r="AS124" s="359">
        <f t="shared" si="52"/>
        <v>0</v>
      </c>
    </row>
    <row r="125" spans="1:45" s="36" customFormat="1" ht="15.75" x14ac:dyDescent="0.25">
      <c r="A125" s="60" t="s">
        <v>161</v>
      </c>
      <c r="B125" s="61" t="s">
        <v>163</v>
      </c>
      <c r="C125" s="341"/>
      <c r="D125" s="341"/>
      <c r="E125" s="445" t="s">
        <v>319</v>
      </c>
      <c r="F125" s="341"/>
      <c r="G125" s="341"/>
      <c r="H125" s="52" t="s">
        <v>165</v>
      </c>
      <c r="I125" s="341"/>
      <c r="J125" s="341"/>
      <c r="K125" s="341"/>
      <c r="L125" s="341"/>
      <c r="M125" s="341"/>
      <c r="N125" s="341"/>
      <c r="O125" s="341"/>
      <c r="P125" s="342"/>
      <c r="Q125" s="341"/>
      <c r="R125" s="341"/>
      <c r="S125" s="341"/>
      <c r="T125" s="341"/>
      <c r="U125" s="341"/>
      <c r="V125" s="342"/>
      <c r="W125" s="341"/>
      <c r="X125" s="341"/>
      <c r="Y125" s="341"/>
      <c r="Z125" s="52"/>
      <c r="AA125" s="86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3"/>
      <c r="AP125" s="47"/>
      <c r="AQ125" s="53">
        <f t="shared" si="53"/>
        <v>0</v>
      </c>
      <c r="AR125" s="51"/>
      <c r="AS125" s="359">
        <f t="shared" si="52"/>
        <v>0</v>
      </c>
    </row>
    <row r="126" spans="1:45" s="36" customFormat="1" ht="15.75" x14ac:dyDescent="0.25">
      <c r="A126" s="111" t="s">
        <v>82</v>
      </c>
      <c r="B126" s="112" t="s">
        <v>532</v>
      </c>
      <c r="C126" s="460"/>
      <c r="D126" s="460"/>
      <c r="E126" s="445" t="s">
        <v>319</v>
      </c>
      <c r="F126" s="460"/>
      <c r="G126" s="340" t="s">
        <v>451</v>
      </c>
      <c r="H126" s="52" t="s">
        <v>165</v>
      </c>
      <c r="I126" s="341"/>
      <c r="J126" s="460"/>
      <c r="K126" s="341"/>
      <c r="L126" s="341"/>
      <c r="M126" s="341"/>
      <c r="N126" s="341"/>
      <c r="O126" s="341"/>
      <c r="P126" s="342"/>
      <c r="Q126" s="341"/>
      <c r="R126" s="341"/>
      <c r="S126" s="341"/>
      <c r="T126" s="341"/>
      <c r="U126" s="341"/>
      <c r="V126" s="342"/>
      <c r="W126" s="341"/>
      <c r="X126" s="341"/>
      <c r="Y126" s="341"/>
      <c r="Z126" s="52"/>
      <c r="AA126" s="86">
        <v>33274</v>
      </c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3"/>
      <c r="AP126" s="47"/>
      <c r="AQ126" s="53">
        <f t="shared" si="53"/>
        <v>0</v>
      </c>
      <c r="AR126" s="51"/>
      <c r="AS126" s="359">
        <f t="shared" si="52"/>
        <v>-33274</v>
      </c>
    </row>
    <row r="127" spans="1:45" s="36" customFormat="1" ht="15.75" x14ac:dyDescent="0.25">
      <c r="A127" s="113" t="s">
        <v>716</v>
      </c>
      <c r="B127" s="114" t="s">
        <v>699</v>
      </c>
      <c r="C127" s="460"/>
      <c r="D127" s="460"/>
      <c r="E127" s="445" t="s">
        <v>319</v>
      </c>
      <c r="F127" s="460"/>
      <c r="G127" s="362" t="s">
        <v>700</v>
      </c>
      <c r="H127" s="52" t="s">
        <v>165</v>
      </c>
      <c r="I127" s="341"/>
      <c r="J127" s="460"/>
      <c r="K127" s="341"/>
      <c r="L127" s="341"/>
      <c r="M127" s="341"/>
      <c r="N127" s="341"/>
      <c r="O127" s="341"/>
      <c r="P127" s="342"/>
      <c r="Q127" s="341"/>
      <c r="R127" s="341"/>
      <c r="S127" s="341"/>
      <c r="T127" s="341"/>
      <c r="U127" s="341"/>
      <c r="V127" s="342"/>
      <c r="W127" s="341"/>
      <c r="X127" s="341"/>
      <c r="Y127" s="341"/>
      <c r="Z127" s="52"/>
      <c r="AA127" s="53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3"/>
      <c r="AP127" s="47"/>
      <c r="AQ127" s="53">
        <f t="shared" si="53"/>
        <v>0</v>
      </c>
      <c r="AR127" s="51"/>
      <c r="AS127" s="359">
        <f t="shared" si="52"/>
        <v>0</v>
      </c>
    </row>
    <row r="128" spans="1:45" s="36" customFormat="1" ht="15.75" x14ac:dyDescent="0.25">
      <c r="A128" s="244" t="s">
        <v>298</v>
      </c>
      <c r="B128" s="272" t="s">
        <v>299</v>
      </c>
      <c r="C128" s="341"/>
      <c r="D128" s="341"/>
      <c r="E128" s="445" t="s">
        <v>319</v>
      </c>
      <c r="F128" s="341"/>
      <c r="G128" s="341"/>
      <c r="H128" s="310" t="s">
        <v>319</v>
      </c>
      <c r="I128" s="341"/>
      <c r="J128" s="341"/>
      <c r="K128" s="341"/>
      <c r="L128" s="341"/>
      <c r="M128" s="341"/>
      <c r="N128" s="341"/>
      <c r="O128" s="341"/>
      <c r="P128" s="342"/>
      <c r="Q128" s="341"/>
      <c r="R128" s="341"/>
      <c r="S128" s="341"/>
      <c r="T128" s="341"/>
      <c r="U128" s="341"/>
      <c r="V128" s="342"/>
      <c r="W128" s="341"/>
      <c r="X128" s="341"/>
      <c r="Y128" s="341"/>
      <c r="Z128" s="310"/>
      <c r="AA128" s="306"/>
      <c r="AB128" s="58"/>
      <c r="AC128" s="58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47"/>
      <c r="AQ128" s="53">
        <f t="shared" si="53"/>
        <v>0</v>
      </c>
      <c r="AR128" s="51"/>
      <c r="AS128" s="359">
        <f t="shared" si="52"/>
        <v>0</v>
      </c>
    </row>
    <row r="129" spans="1:47" s="36" customFormat="1" ht="15.75" x14ac:dyDescent="0.25">
      <c r="A129" s="113" t="s">
        <v>180</v>
      </c>
      <c r="B129" s="113" t="s">
        <v>182</v>
      </c>
      <c r="C129" s="341"/>
      <c r="D129" s="341"/>
      <c r="E129" s="445" t="s">
        <v>319</v>
      </c>
      <c r="F129" s="341"/>
      <c r="G129" s="345" t="s">
        <v>697</v>
      </c>
      <c r="H129" s="310" t="s">
        <v>319</v>
      </c>
      <c r="I129" s="341"/>
      <c r="J129" s="341"/>
      <c r="K129" s="341"/>
      <c r="L129" s="341"/>
      <c r="M129" s="341"/>
      <c r="N129" s="341"/>
      <c r="O129" s="341"/>
      <c r="P129" s="342"/>
      <c r="Q129" s="341"/>
      <c r="R129" s="341"/>
      <c r="S129" s="341"/>
      <c r="T129" s="341"/>
      <c r="U129" s="341"/>
      <c r="V129" s="342"/>
      <c r="W129" s="341"/>
      <c r="X129" s="341"/>
      <c r="Y129" s="341"/>
      <c r="Z129" s="310"/>
      <c r="AA129" s="351"/>
      <c r="AB129" s="58"/>
      <c r="AC129" s="58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47"/>
      <c r="AQ129" s="53">
        <f t="shared" si="53"/>
        <v>0</v>
      </c>
      <c r="AR129" s="51"/>
      <c r="AS129" s="359">
        <f t="shared" si="52"/>
        <v>0</v>
      </c>
    </row>
    <row r="130" spans="1:47" s="36" customFormat="1" ht="15.75" x14ac:dyDescent="0.25">
      <c r="A130" s="244" t="s">
        <v>316</v>
      </c>
      <c r="B130" s="244" t="s">
        <v>435</v>
      </c>
      <c r="C130" s="341"/>
      <c r="D130" s="341"/>
      <c r="E130" s="445" t="s">
        <v>319</v>
      </c>
      <c r="F130" s="341"/>
      <c r="G130" s="341"/>
      <c r="H130" s="52" t="s">
        <v>319</v>
      </c>
      <c r="I130" s="341"/>
      <c r="J130" s="341"/>
      <c r="K130" s="341"/>
      <c r="L130" s="341"/>
      <c r="M130" s="341"/>
      <c r="N130" s="341"/>
      <c r="O130" s="341"/>
      <c r="P130" s="342"/>
      <c r="Q130" s="341"/>
      <c r="R130" s="341"/>
      <c r="S130" s="341"/>
      <c r="T130" s="341"/>
      <c r="U130" s="341"/>
      <c r="V130" s="342"/>
      <c r="W130" s="341"/>
      <c r="X130" s="341"/>
      <c r="Y130" s="341"/>
      <c r="Z130" s="52"/>
      <c r="AA130" s="182">
        <v>461956</v>
      </c>
      <c r="AB130" s="58"/>
      <c r="AC130" s="58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47"/>
      <c r="AQ130" s="53">
        <f t="shared" si="53"/>
        <v>0</v>
      </c>
      <c r="AR130" s="51"/>
      <c r="AS130" s="359">
        <f t="shared" si="52"/>
        <v>-461956</v>
      </c>
    </row>
    <row r="131" spans="1:47" s="36" customFormat="1" ht="15.75" x14ac:dyDescent="0.25">
      <c r="A131" s="113" t="s">
        <v>325</v>
      </c>
      <c r="B131" s="114" t="s">
        <v>418</v>
      </c>
      <c r="C131" s="341"/>
      <c r="D131" s="341"/>
      <c r="E131" s="445" t="s">
        <v>319</v>
      </c>
      <c r="F131" s="341"/>
      <c r="G131" s="341"/>
      <c r="H131" s="52" t="s">
        <v>319</v>
      </c>
      <c r="I131" s="341"/>
      <c r="J131" s="341"/>
      <c r="K131" s="341"/>
      <c r="L131" s="341"/>
      <c r="M131" s="341"/>
      <c r="N131" s="341"/>
      <c r="O131" s="341"/>
      <c r="P131" s="342"/>
      <c r="Q131" s="341"/>
      <c r="R131" s="341"/>
      <c r="S131" s="341"/>
      <c r="T131" s="341"/>
      <c r="U131" s="341"/>
      <c r="V131" s="342"/>
      <c r="W131" s="341"/>
      <c r="X131" s="341"/>
      <c r="Y131" s="341"/>
      <c r="Z131" s="52"/>
      <c r="AA131" s="247">
        <v>15630</v>
      </c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3"/>
      <c r="AP131" s="47"/>
      <c r="AQ131" s="53">
        <f t="shared" si="53"/>
        <v>0</v>
      </c>
      <c r="AR131" s="51"/>
      <c r="AS131" s="359">
        <f t="shared" si="52"/>
        <v>-15630</v>
      </c>
    </row>
    <row r="132" spans="1:47" s="36" customFormat="1" ht="15.75" x14ac:dyDescent="0.25">
      <c r="A132" s="113" t="s">
        <v>328</v>
      </c>
      <c r="B132" s="114" t="s">
        <v>419</v>
      </c>
      <c r="C132" s="341"/>
      <c r="D132" s="341"/>
      <c r="E132" s="445" t="s">
        <v>319</v>
      </c>
      <c r="F132" s="341"/>
      <c r="G132" s="341"/>
      <c r="H132" s="52" t="s">
        <v>319</v>
      </c>
      <c r="I132" s="341"/>
      <c r="J132" s="341"/>
      <c r="K132" s="341"/>
      <c r="L132" s="341"/>
      <c r="M132" s="341"/>
      <c r="N132" s="341"/>
      <c r="O132" s="341"/>
      <c r="P132" s="342"/>
      <c r="Q132" s="341"/>
      <c r="R132" s="341"/>
      <c r="S132" s="341"/>
      <c r="T132" s="341"/>
      <c r="U132" s="341"/>
      <c r="V132" s="342"/>
      <c r="W132" s="341"/>
      <c r="X132" s="341"/>
      <c r="Y132" s="341"/>
      <c r="Z132" s="52"/>
      <c r="AA132" s="247">
        <v>15000</v>
      </c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3"/>
      <c r="AP132" s="47"/>
      <c r="AQ132" s="53">
        <f t="shared" si="53"/>
        <v>0</v>
      </c>
      <c r="AR132" s="51"/>
      <c r="AS132" s="359">
        <f t="shared" si="52"/>
        <v>-15000</v>
      </c>
    </row>
    <row r="133" spans="1:47" s="36" customFormat="1" ht="15.75" x14ac:dyDescent="0.25">
      <c r="A133" s="113" t="s">
        <v>110</v>
      </c>
      <c r="B133" s="114" t="s">
        <v>111</v>
      </c>
      <c r="C133" s="341"/>
      <c r="D133" s="341"/>
      <c r="E133" s="445" t="s">
        <v>319</v>
      </c>
      <c r="F133" s="341"/>
      <c r="G133" s="341"/>
      <c r="H133" s="52" t="s">
        <v>319</v>
      </c>
      <c r="I133" s="341"/>
      <c r="J133" s="341"/>
      <c r="K133" s="341"/>
      <c r="L133" s="341"/>
      <c r="M133" s="341"/>
      <c r="N133" s="341"/>
      <c r="O133" s="341"/>
      <c r="P133" s="342"/>
      <c r="Q133" s="341"/>
      <c r="R133" s="341"/>
      <c r="S133" s="341"/>
      <c r="T133" s="341"/>
      <c r="U133" s="341"/>
      <c r="V133" s="342"/>
      <c r="W133" s="341"/>
      <c r="X133" s="341"/>
      <c r="Y133" s="341"/>
      <c r="Z133" s="52"/>
      <c r="AA133" s="86"/>
      <c r="AB133" s="58"/>
      <c r="AC133" s="58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47"/>
      <c r="AQ133" s="53">
        <f t="shared" si="53"/>
        <v>0</v>
      </c>
      <c r="AR133" s="51"/>
      <c r="AS133" s="359">
        <f t="shared" si="52"/>
        <v>0</v>
      </c>
    </row>
    <row r="134" spans="1:47" s="36" customFormat="1" ht="15.75" x14ac:dyDescent="0.25">
      <c r="A134" s="113" t="s">
        <v>187</v>
      </c>
      <c r="B134" s="114" t="s">
        <v>188</v>
      </c>
      <c r="C134" s="341"/>
      <c r="D134" s="341"/>
      <c r="E134" s="445" t="s">
        <v>319</v>
      </c>
      <c r="F134" s="341"/>
      <c r="G134" s="341"/>
      <c r="H134" s="52" t="s">
        <v>319</v>
      </c>
      <c r="I134" s="341"/>
      <c r="J134" s="341"/>
      <c r="K134" s="341"/>
      <c r="L134" s="341"/>
      <c r="M134" s="341"/>
      <c r="N134" s="341"/>
      <c r="O134" s="341"/>
      <c r="P134" s="342"/>
      <c r="Q134" s="341"/>
      <c r="R134" s="341"/>
      <c r="S134" s="341"/>
      <c r="T134" s="341"/>
      <c r="U134" s="341"/>
      <c r="V134" s="342"/>
      <c r="W134" s="341"/>
      <c r="X134" s="341"/>
      <c r="Y134" s="341"/>
      <c r="Z134" s="52"/>
      <c r="AA134" s="182">
        <v>41062</v>
      </c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47"/>
      <c r="AQ134" s="53">
        <f t="shared" si="53"/>
        <v>0</v>
      </c>
      <c r="AR134" s="51"/>
      <c r="AS134" s="359">
        <f t="shared" si="52"/>
        <v>-41062</v>
      </c>
    </row>
    <row r="135" spans="1:47" s="36" customFormat="1" ht="15.75" x14ac:dyDescent="0.25">
      <c r="A135" s="113" t="s">
        <v>178</v>
      </c>
      <c r="B135" s="113" t="s">
        <v>179</v>
      </c>
      <c r="C135" s="341"/>
      <c r="D135" s="341"/>
      <c r="E135" s="445" t="s">
        <v>319</v>
      </c>
      <c r="F135" s="341"/>
      <c r="G135" s="341"/>
      <c r="H135" s="52" t="s">
        <v>319</v>
      </c>
      <c r="I135" s="341"/>
      <c r="J135" s="341"/>
      <c r="K135" s="341"/>
      <c r="L135" s="341"/>
      <c r="M135" s="341"/>
      <c r="N135" s="341"/>
      <c r="O135" s="341"/>
      <c r="P135" s="342"/>
      <c r="Q135" s="341"/>
      <c r="R135" s="341"/>
      <c r="S135" s="341"/>
      <c r="T135" s="341"/>
      <c r="U135" s="341"/>
      <c r="V135" s="342"/>
      <c r="W135" s="341"/>
      <c r="X135" s="341"/>
      <c r="Y135" s="341"/>
      <c r="Z135" s="52"/>
      <c r="AA135" s="86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3"/>
      <c r="AP135" s="47"/>
      <c r="AQ135" s="53">
        <f t="shared" si="53"/>
        <v>0</v>
      </c>
      <c r="AR135" s="51"/>
      <c r="AS135" s="359">
        <f t="shared" si="52"/>
        <v>0</v>
      </c>
    </row>
    <row r="136" spans="1:47" s="36" customFormat="1" ht="15.75" x14ac:dyDescent="0.25">
      <c r="A136" s="113" t="s">
        <v>544</v>
      </c>
      <c r="B136" s="113" t="s">
        <v>668</v>
      </c>
      <c r="C136" s="341"/>
      <c r="D136" s="341"/>
      <c r="E136" s="445" t="s">
        <v>319</v>
      </c>
      <c r="F136" s="341"/>
      <c r="G136" s="345" t="s">
        <v>691</v>
      </c>
      <c r="H136" s="52" t="s">
        <v>319</v>
      </c>
      <c r="I136" s="341"/>
      <c r="J136" s="341"/>
      <c r="K136" s="341"/>
      <c r="L136" s="341"/>
      <c r="M136" s="341"/>
      <c r="N136" s="341"/>
      <c r="O136" s="341"/>
      <c r="P136" s="342"/>
      <c r="Q136" s="341"/>
      <c r="R136" s="341"/>
      <c r="S136" s="341"/>
      <c r="T136" s="341"/>
      <c r="U136" s="341"/>
      <c r="V136" s="342"/>
      <c r="W136" s="341"/>
      <c r="X136" s="341"/>
      <c r="Y136" s="341"/>
      <c r="Z136" s="52"/>
      <c r="AA136" s="181">
        <v>15493</v>
      </c>
      <c r="AB136" s="58"/>
      <c r="AC136" s="58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47"/>
      <c r="AQ136" s="53">
        <f t="shared" si="53"/>
        <v>0</v>
      </c>
      <c r="AR136" s="51"/>
      <c r="AS136" s="359">
        <f t="shared" si="52"/>
        <v>-15493</v>
      </c>
    </row>
    <row r="137" spans="1:47" s="36" customFormat="1" ht="15.75" x14ac:dyDescent="0.25">
      <c r="A137" s="113" t="s">
        <v>602</v>
      </c>
      <c r="B137" s="114" t="s">
        <v>603</v>
      </c>
      <c r="C137" s="341"/>
      <c r="D137" s="341"/>
      <c r="E137" s="445" t="s">
        <v>319</v>
      </c>
      <c r="F137" s="341"/>
      <c r="G137" s="341"/>
      <c r="H137" s="52" t="s">
        <v>319</v>
      </c>
      <c r="I137" s="341"/>
      <c r="J137" s="341"/>
      <c r="K137" s="341"/>
      <c r="L137" s="341"/>
      <c r="M137" s="341"/>
      <c r="N137" s="341"/>
      <c r="O137" s="341"/>
      <c r="P137" s="342"/>
      <c r="Q137" s="341"/>
      <c r="R137" s="341"/>
      <c r="S137" s="341"/>
      <c r="T137" s="341"/>
      <c r="U137" s="341"/>
      <c r="V137" s="342"/>
      <c r="W137" s="341"/>
      <c r="X137" s="341"/>
      <c r="Y137" s="341"/>
      <c r="Z137" s="52"/>
      <c r="AA137" s="53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3"/>
      <c r="AP137" s="47"/>
      <c r="AQ137" s="53">
        <f t="shared" si="53"/>
        <v>0</v>
      </c>
      <c r="AR137" s="51"/>
      <c r="AS137" s="359">
        <f t="shared" si="52"/>
        <v>0</v>
      </c>
    </row>
    <row r="138" spans="1:47" s="36" customFormat="1" ht="15.75" x14ac:dyDescent="0.25">
      <c r="A138" s="113" t="s">
        <v>747</v>
      </c>
      <c r="B138" s="114" t="s">
        <v>598</v>
      </c>
      <c r="C138" s="341"/>
      <c r="D138" s="341"/>
      <c r="E138" s="445" t="s">
        <v>319</v>
      </c>
      <c r="F138" s="341"/>
      <c r="G138" s="341"/>
      <c r="H138" s="52" t="s">
        <v>319</v>
      </c>
      <c r="I138" s="341"/>
      <c r="J138" s="341"/>
      <c r="K138" s="341"/>
      <c r="L138" s="341"/>
      <c r="M138" s="341"/>
      <c r="N138" s="341"/>
      <c r="O138" s="341"/>
      <c r="P138" s="342"/>
      <c r="Q138" s="341"/>
      <c r="R138" s="341"/>
      <c r="S138" s="341"/>
      <c r="T138" s="341"/>
      <c r="U138" s="341"/>
      <c r="V138" s="342"/>
      <c r="W138" s="341"/>
      <c r="X138" s="341"/>
      <c r="Y138" s="341"/>
      <c r="Z138" s="52"/>
      <c r="AA138" s="53"/>
      <c r="AB138" s="58"/>
      <c r="AC138" s="58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47"/>
      <c r="AQ138" s="53">
        <f t="shared" si="53"/>
        <v>0</v>
      </c>
      <c r="AR138" s="51"/>
      <c r="AS138" s="359">
        <f t="shared" si="52"/>
        <v>0</v>
      </c>
    </row>
    <row r="139" spans="1:47" s="36" customFormat="1" ht="15.75" x14ac:dyDescent="0.25">
      <c r="A139" s="113" t="s">
        <v>586</v>
      </c>
      <c r="B139" s="114" t="s">
        <v>587</v>
      </c>
      <c r="C139" s="341"/>
      <c r="D139" s="341"/>
      <c r="E139" s="445" t="s">
        <v>319</v>
      </c>
      <c r="F139" s="341"/>
      <c r="G139" s="341"/>
      <c r="H139" s="52" t="s">
        <v>319</v>
      </c>
      <c r="I139" s="341"/>
      <c r="J139" s="341"/>
      <c r="K139" s="341"/>
      <c r="L139" s="341"/>
      <c r="M139" s="341"/>
      <c r="N139" s="341"/>
      <c r="O139" s="341"/>
      <c r="P139" s="342"/>
      <c r="Q139" s="341"/>
      <c r="R139" s="341"/>
      <c r="S139" s="341"/>
      <c r="T139" s="341"/>
      <c r="U139" s="341"/>
      <c r="V139" s="342"/>
      <c r="W139" s="341"/>
      <c r="X139" s="341"/>
      <c r="Y139" s="341"/>
      <c r="Z139" s="52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3"/>
      <c r="AP139" s="47"/>
      <c r="AQ139" s="53">
        <f t="shared" si="53"/>
        <v>0</v>
      </c>
      <c r="AR139" s="51"/>
      <c r="AS139" s="359">
        <f t="shared" si="52"/>
        <v>0</v>
      </c>
    </row>
    <row r="140" spans="1:47" s="36" customFormat="1" ht="15.75" x14ac:dyDescent="0.25">
      <c r="A140" s="113" t="s">
        <v>583</v>
      </c>
      <c r="B140" s="114" t="s">
        <v>588</v>
      </c>
      <c r="C140" s="341"/>
      <c r="D140" s="341"/>
      <c r="E140" s="445" t="s">
        <v>319</v>
      </c>
      <c r="F140" s="341"/>
      <c r="G140" s="341"/>
      <c r="H140" s="52" t="s">
        <v>319</v>
      </c>
      <c r="I140" s="341"/>
      <c r="J140" s="341"/>
      <c r="K140" s="341"/>
      <c r="L140" s="341"/>
      <c r="M140" s="341"/>
      <c r="N140" s="341"/>
      <c r="O140" s="341"/>
      <c r="P140" s="342"/>
      <c r="Q140" s="341"/>
      <c r="R140" s="341"/>
      <c r="S140" s="341"/>
      <c r="T140" s="341"/>
      <c r="U140" s="341"/>
      <c r="V140" s="342"/>
      <c r="W140" s="341"/>
      <c r="X140" s="341"/>
      <c r="Y140" s="341"/>
      <c r="Z140" s="52"/>
      <c r="AA140" s="53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3"/>
      <c r="AP140" s="47"/>
      <c r="AQ140" s="53">
        <f t="shared" si="53"/>
        <v>0</v>
      </c>
      <c r="AR140" s="51"/>
      <c r="AS140" s="359">
        <f t="shared" si="52"/>
        <v>0</v>
      </c>
      <c r="AU140" s="55"/>
    </row>
    <row r="141" spans="1:47" s="36" customFormat="1" ht="15.75" x14ac:dyDescent="0.25">
      <c r="A141" s="113" t="s">
        <v>584</v>
      </c>
      <c r="B141" s="114" t="s">
        <v>585</v>
      </c>
      <c r="C141" s="341"/>
      <c r="D141" s="341"/>
      <c r="E141" s="445" t="s">
        <v>319</v>
      </c>
      <c r="F141" s="341"/>
      <c r="G141" s="341"/>
      <c r="H141" s="52" t="s">
        <v>319</v>
      </c>
      <c r="I141" s="341"/>
      <c r="J141" s="341"/>
      <c r="K141" s="341"/>
      <c r="L141" s="341"/>
      <c r="M141" s="341"/>
      <c r="N141" s="341"/>
      <c r="O141" s="341"/>
      <c r="P141" s="342"/>
      <c r="Q141" s="341"/>
      <c r="R141" s="341"/>
      <c r="S141" s="341"/>
      <c r="T141" s="341"/>
      <c r="U141" s="341"/>
      <c r="V141" s="342"/>
      <c r="W141" s="341"/>
      <c r="X141" s="341"/>
      <c r="Y141" s="341"/>
      <c r="Z141" s="52"/>
      <c r="AA141" s="53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3"/>
      <c r="AP141" s="47"/>
      <c r="AQ141" s="53">
        <f t="shared" si="53"/>
        <v>0</v>
      </c>
      <c r="AR141" s="51"/>
      <c r="AS141" s="359">
        <f t="shared" si="52"/>
        <v>0</v>
      </c>
      <c r="AU141" s="55"/>
    </row>
    <row r="142" spans="1:47" s="36" customFormat="1" ht="15.75" x14ac:dyDescent="0.25">
      <c r="A142" s="113" t="s">
        <v>714</v>
      </c>
      <c r="B142" s="114" t="s">
        <v>715</v>
      </c>
      <c r="C142" s="341"/>
      <c r="D142" s="341"/>
      <c r="E142" s="445" t="s">
        <v>319</v>
      </c>
      <c r="F142" s="341"/>
      <c r="G142" s="341"/>
      <c r="H142" s="52" t="s">
        <v>319</v>
      </c>
      <c r="I142" s="341"/>
      <c r="J142" s="341"/>
      <c r="K142" s="341"/>
      <c r="L142" s="341"/>
      <c r="M142" s="341"/>
      <c r="N142" s="341"/>
      <c r="O142" s="341"/>
      <c r="P142" s="342"/>
      <c r="Q142" s="341"/>
      <c r="R142" s="341"/>
      <c r="S142" s="341"/>
      <c r="T142" s="341"/>
      <c r="U142" s="341"/>
      <c r="V142" s="342"/>
      <c r="W142" s="341"/>
      <c r="X142" s="341"/>
      <c r="Y142" s="341"/>
      <c r="Z142" s="52"/>
      <c r="AA142" s="53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3"/>
      <c r="AP142" s="47"/>
      <c r="AQ142" s="53">
        <f t="shared" si="53"/>
        <v>0</v>
      </c>
      <c r="AR142" s="51"/>
      <c r="AS142" s="359">
        <f t="shared" si="52"/>
        <v>0</v>
      </c>
      <c r="AU142" s="55"/>
    </row>
    <row r="143" spans="1:47" s="36" customFormat="1" ht="15.75" x14ac:dyDescent="0.25">
      <c r="A143" s="113" t="s">
        <v>589</v>
      </c>
      <c r="B143" s="114" t="s">
        <v>590</v>
      </c>
      <c r="C143" s="341"/>
      <c r="D143" s="341"/>
      <c r="E143" s="445" t="s">
        <v>319</v>
      </c>
      <c r="F143" s="341"/>
      <c r="G143" s="341"/>
      <c r="H143" s="52" t="s">
        <v>319</v>
      </c>
      <c r="I143" s="341"/>
      <c r="J143" s="341"/>
      <c r="K143" s="341"/>
      <c r="L143" s="341"/>
      <c r="M143" s="341"/>
      <c r="N143" s="341"/>
      <c r="O143" s="341"/>
      <c r="P143" s="342"/>
      <c r="Q143" s="341"/>
      <c r="R143" s="341"/>
      <c r="S143" s="341"/>
      <c r="T143" s="341"/>
      <c r="U143" s="341"/>
      <c r="V143" s="342"/>
      <c r="W143" s="341"/>
      <c r="X143" s="341"/>
      <c r="Y143" s="341"/>
      <c r="Z143" s="52"/>
      <c r="AA143" s="210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3"/>
      <c r="AP143" s="47"/>
      <c r="AQ143" s="53">
        <f t="shared" si="53"/>
        <v>0</v>
      </c>
      <c r="AR143" s="51"/>
      <c r="AS143" s="359">
        <f t="shared" si="52"/>
        <v>0</v>
      </c>
      <c r="AU143" s="55"/>
    </row>
    <row r="144" spans="1:47" s="36" customFormat="1" ht="15.75" x14ac:dyDescent="0.25">
      <c r="A144" s="113" t="s">
        <v>718</v>
      </c>
      <c r="B144" s="113" t="s">
        <v>660</v>
      </c>
      <c r="C144" s="458" t="s">
        <v>826</v>
      </c>
      <c r="D144" s="458"/>
      <c r="E144" s="341" t="s">
        <v>877</v>
      </c>
      <c r="F144" s="458"/>
      <c r="G144" s="519" t="s">
        <v>876</v>
      </c>
      <c r="H144" s="341" t="s">
        <v>877</v>
      </c>
      <c r="I144" s="341"/>
      <c r="J144" s="458"/>
      <c r="K144" s="341"/>
      <c r="L144" s="341"/>
      <c r="M144" s="341"/>
      <c r="N144" s="341"/>
      <c r="O144" s="341"/>
      <c r="P144" s="342"/>
      <c r="Q144" s="342"/>
      <c r="R144" s="342"/>
      <c r="S144" s="341"/>
      <c r="T144" s="341"/>
      <c r="U144" s="341"/>
      <c r="V144" s="342"/>
      <c r="W144" s="341"/>
      <c r="X144" s="341"/>
      <c r="Y144" s="341"/>
      <c r="Z144" s="50"/>
      <c r="AA144" s="182">
        <v>2860071.9</v>
      </c>
      <c r="AB144" s="211">
        <v>269645.40000000002</v>
      </c>
      <c r="AC144" s="58"/>
      <c r="AD144" s="58"/>
      <c r="AE144" s="275">
        <v>125000</v>
      </c>
      <c r="AF144" s="275">
        <v>125000</v>
      </c>
      <c r="AG144" s="275">
        <v>125000</v>
      </c>
      <c r="AH144" s="275">
        <v>105000</v>
      </c>
      <c r="AI144" s="275"/>
      <c r="AJ144" s="275"/>
      <c r="AK144" s="275"/>
      <c r="AL144" s="58"/>
      <c r="AM144" s="58">
        <v>200000</v>
      </c>
      <c r="AN144" s="58"/>
      <c r="AO144" s="53"/>
      <c r="AP144" s="47"/>
      <c r="AQ144" s="53">
        <f>SUM(AB144:AP144)</f>
        <v>949645.4</v>
      </c>
      <c r="AR144" s="51"/>
      <c r="AS144" s="359">
        <f>AQ144-AA144</f>
        <v>-1910426.5</v>
      </c>
    </row>
    <row r="145" spans="1:47" s="36" customFormat="1" ht="15.75" x14ac:dyDescent="0.25">
      <c r="A145" s="113" t="s">
        <v>720</v>
      </c>
      <c r="B145" s="114" t="s">
        <v>721</v>
      </c>
      <c r="C145" s="341"/>
      <c r="D145" s="341"/>
      <c r="E145" s="445" t="s">
        <v>319</v>
      </c>
      <c r="F145" s="341"/>
      <c r="G145" s="341"/>
      <c r="H145" s="52" t="s">
        <v>319</v>
      </c>
      <c r="I145" s="341"/>
      <c r="J145" s="341"/>
      <c r="K145" s="341"/>
      <c r="L145" s="341"/>
      <c r="M145" s="341"/>
      <c r="N145" s="341"/>
      <c r="O145" s="341"/>
      <c r="P145" s="342"/>
      <c r="Q145" s="341"/>
      <c r="R145" s="341"/>
      <c r="S145" s="341"/>
      <c r="T145" s="341"/>
      <c r="U145" s="341"/>
      <c r="V145" s="342"/>
      <c r="W145" s="341"/>
      <c r="X145" s="341"/>
      <c r="Y145" s="341"/>
      <c r="Z145" s="52"/>
      <c r="AA145" s="53">
        <v>0</v>
      </c>
      <c r="AB145" s="53"/>
      <c r="AC145" s="58"/>
      <c r="AD145" s="58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275"/>
      <c r="AO145" s="53"/>
      <c r="AP145" s="47"/>
      <c r="AQ145" s="53"/>
      <c r="AR145" s="51"/>
      <c r="AS145" s="359">
        <f t="shared" si="52"/>
        <v>0</v>
      </c>
      <c r="AU145" s="55"/>
    </row>
    <row r="146" spans="1:47" s="36" customFormat="1" ht="15.75" x14ac:dyDescent="0.25">
      <c r="A146" s="113" t="s">
        <v>722</v>
      </c>
      <c r="B146" s="114" t="s">
        <v>723</v>
      </c>
      <c r="C146" s="341"/>
      <c r="D146" s="341"/>
      <c r="E146" s="445" t="s">
        <v>319</v>
      </c>
      <c r="F146" s="341"/>
      <c r="G146" s="341"/>
      <c r="H146" s="52" t="s">
        <v>319</v>
      </c>
      <c r="I146" s="341"/>
      <c r="J146" s="341"/>
      <c r="K146" s="341"/>
      <c r="L146" s="341"/>
      <c r="M146" s="341"/>
      <c r="N146" s="341"/>
      <c r="O146" s="341"/>
      <c r="P146" s="342"/>
      <c r="Q146" s="341"/>
      <c r="R146" s="341"/>
      <c r="S146" s="341"/>
      <c r="T146" s="341"/>
      <c r="U146" s="341"/>
      <c r="V146" s="342"/>
      <c r="W146" s="341"/>
      <c r="X146" s="341"/>
      <c r="Y146" s="341"/>
      <c r="Z146" s="52"/>
      <c r="AA146" s="53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3"/>
      <c r="AP146" s="47"/>
      <c r="AQ146" s="53">
        <f t="shared" ref="AQ146:AQ156" si="54">SUM(AB146:AP146)</f>
        <v>0</v>
      </c>
      <c r="AR146" s="51"/>
      <c r="AS146" s="359">
        <f t="shared" si="52"/>
        <v>0</v>
      </c>
      <c r="AU146" s="55"/>
    </row>
    <row r="147" spans="1:47" s="36" customFormat="1" ht="15.75" x14ac:dyDescent="0.25">
      <c r="A147" s="113" t="s">
        <v>728</v>
      </c>
      <c r="B147" s="114" t="s">
        <v>731</v>
      </c>
      <c r="C147" s="341"/>
      <c r="D147" s="341"/>
      <c r="E147" s="445" t="s">
        <v>319</v>
      </c>
      <c r="F147" s="341"/>
      <c r="G147" s="341"/>
      <c r="H147" s="52" t="s">
        <v>319</v>
      </c>
      <c r="I147" s="341"/>
      <c r="J147" s="341"/>
      <c r="K147" s="341"/>
      <c r="L147" s="341"/>
      <c r="M147" s="341"/>
      <c r="N147" s="341"/>
      <c r="O147" s="341"/>
      <c r="P147" s="342"/>
      <c r="Q147" s="341"/>
      <c r="R147" s="341"/>
      <c r="S147" s="341"/>
      <c r="T147" s="341"/>
      <c r="U147" s="341"/>
      <c r="V147" s="342"/>
      <c r="W147" s="341"/>
      <c r="X147" s="341"/>
      <c r="Y147" s="341"/>
      <c r="Z147" s="52"/>
      <c r="AA147" s="53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3"/>
      <c r="AP147" s="47"/>
      <c r="AQ147" s="53">
        <f t="shared" si="54"/>
        <v>0</v>
      </c>
      <c r="AR147" s="51"/>
      <c r="AS147" s="359">
        <f t="shared" si="52"/>
        <v>0</v>
      </c>
    </row>
    <row r="148" spans="1:47" s="36" customFormat="1" ht="15.75" x14ac:dyDescent="0.25">
      <c r="A148" s="113" t="s">
        <v>744</v>
      </c>
      <c r="B148" s="113" t="s">
        <v>733</v>
      </c>
      <c r="C148" s="341" t="s">
        <v>824</v>
      </c>
      <c r="D148" s="341"/>
      <c r="E148" s="445" t="s">
        <v>319</v>
      </c>
      <c r="F148" s="341"/>
      <c r="G148" s="345"/>
      <c r="H148" s="52" t="s">
        <v>319</v>
      </c>
      <c r="I148" s="341"/>
      <c r="J148" s="341"/>
      <c r="K148" s="341"/>
      <c r="L148" s="341"/>
      <c r="M148" s="341"/>
      <c r="N148" s="341"/>
      <c r="O148" s="341"/>
      <c r="P148" s="342"/>
      <c r="Q148" s="342"/>
      <c r="R148" s="341"/>
      <c r="S148" s="341"/>
      <c r="T148" s="341"/>
      <c r="U148" s="341"/>
      <c r="V148" s="342"/>
      <c r="W148" s="341"/>
      <c r="X148" s="341"/>
      <c r="Y148" s="341"/>
      <c r="Z148" s="50"/>
      <c r="AA148" s="53">
        <v>750000</v>
      </c>
      <c r="AB148" s="211">
        <v>0</v>
      </c>
      <c r="AC148" s="115">
        <v>0</v>
      </c>
      <c r="AD148" s="115">
        <v>0</v>
      </c>
      <c r="AE148" s="275">
        <v>50000</v>
      </c>
      <c r="AF148" s="275">
        <v>75000</v>
      </c>
      <c r="AG148" s="275">
        <v>130000</v>
      </c>
      <c r="AH148" s="275">
        <v>130000</v>
      </c>
      <c r="AI148" s="275">
        <v>130000</v>
      </c>
      <c r="AJ148" s="275">
        <v>130000</v>
      </c>
      <c r="AK148" s="275">
        <v>105000</v>
      </c>
      <c r="AL148" s="58"/>
      <c r="AM148" s="58"/>
      <c r="AN148" s="58"/>
      <c r="AO148" s="53"/>
      <c r="AP148" s="47"/>
      <c r="AQ148" s="53">
        <f>SUM(AB148:AP148)</f>
        <v>750000</v>
      </c>
      <c r="AR148" s="51"/>
      <c r="AS148" s="359">
        <f>AQ148-AA148</f>
        <v>0</v>
      </c>
      <c r="AU148" s="55"/>
    </row>
    <row r="149" spans="1:47" s="36" customFormat="1" ht="15.75" x14ac:dyDescent="0.25">
      <c r="A149" s="113" t="s">
        <v>210</v>
      </c>
      <c r="B149" s="114" t="s">
        <v>211</v>
      </c>
      <c r="C149" s="341"/>
      <c r="D149" s="341"/>
      <c r="E149" s="445" t="s">
        <v>319</v>
      </c>
      <c r="F149" s="341"/>
      <c r="G149" s="341"/>
      <c r="H149" s="341" t="s">
        <v>165</v>
      </c>
      <c r="I149" s="341"/>
      <c r="J149" s="341"/>
      <c r="K149" s="341"/>
      <c r="L149" s="341"/>
      <c r="M149" s="341"/>
      <c r="N149" s="341"/>
      <c r="O149" s="341"/>
      <c r="P149" s="342"/>
      <c r="Q149" s="341"/>
      <c r="R149" s="341"/>
      <c r="S149" s="341"/>
      <c r="T149" s="341"/>
      <c r="U149" s="341"/>
      <c r="V149" s="342"/>
      <c r="W149" s="341"/>
      <c r="X149" s="341"/>
      <c r="Y149" s="341"/>
      <c r="Z149" s="52"/>
      <c r="AA149" s="86"/>
      <c r="AB149" s="58"/>
      <c r="AC149" s="58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47"/>
      <c r="AQ149" s="53">
        <f t="shared" si="54"/>
        <v>0</v>
      </c>
      <c r="AR149" s="51"/>
      <c r="AS149" s="359">
        <f t="shared" si="52"/>
        <v>0</v>
      </c>
    </row>
    <row r="150" spans="1:47" s="36" customFormat="1" ht="15.75" x14ac:dyDescent="0.25">
      <c r="A150" s="113" t="s">
        <v>475</v>
      </c>
      <c r="B150" s="114" t="s">
        <v>655</v>
      </c>
      <c r="C150" s="341"/>
      <c r="D150" s="341"/>
      <c r="E150" s="445" t="s">
        <v>319</v>
      </c>
      <c r="F150" s="341"/>
      <c r="G150" s="341"/>
      <c r="H150" s="341" t="s">
        <v>165</v>
      </c>
      <c r="I150" s="341"/>
      <c r="J150" s="341"/>
      <c r="K150" s="341"/>
      <c r="L150" s="341"/>
      <c r="M150" s="341"/>
      <c r="N150" s="341"/>
      <c r="O150" s="341"/>
      <c r="P150" s="342"/>
      <c r="Q150" s="341"/>
      <c r="R150" s="341"/>
      <c r="S150" s="341"/>
      <c r="T150" s="341"/>
      <c r="U150" s="341"/>
      <c r="V150" s="342"/>
      <c r="W150" s="341"/>
      <c r="X150" s="341"/>
      <c r="Y150" s="341"/>
      <c r="Z150" s="52"/>
      <c r="AA150" s="53"/>
      <c r="AB150" s="53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3"/>
      <c r="AP150" s="47"/>
      <c r="AQ150" s="53">
        <f t="shared" si="54"/>
        <v>0</v>
      </c>
      <c r="AR150" s="51"/>
      <c r="AS150" s="359">
        <f t="shared" si="52"/>
        <v>0</v>
      </c>
    </row>
    <row r="151" spans="1:47" s="36" customFormat="1" ht="15.75" x14ac:dyDescent="0.25">
      <c r="A151" s="113" t="s">
        <v>398</v>
      </c>
      <c r="B151" s="113" t="s">
        <v>703</v>
      </c>
      <c r="C151" s="458" t="s">
        <v>834</v>
      </c>
      <c r="D151" s="458"/>
      <c r="E151" s="445" t="s">
        <v>319</v>
      </c>
      <c r="F151" s="341"/>
      <c r="G151" s="519" t="s">
        <v>702</v>
      </c>
      <c r="H151" s="87" t="s">
        <v>319</v>
      </c>
      <c r="I151" s="341"/>
      <c r="J151" s="458"/>
      <c r="K151" s="341"/>
      <c r="L151" s="341"/>
      <c r="M151" s="341"/>
      <c r="N151" s="341"/>
      <c r="O151" s="341"/>
      <c r="P151" s="342"/>
      <c r="Q151" s="341"/>
      <c r="R151" s="341"/>
      <c r="S151" s="341"/>
      <c r="T151" s="341"/>
      <c r="U151" s="341"/>
      <c r="V151" s="342"/>
      <c r="W151" s="341"/>
      <c r="X151" s="341"/>
      <c r="Y151" s="341"/>
      <c r="Z151" s="52"/>
      <c r="AA151" s="53">
        <v>2400000</v>
      </c>
      <c r="AB151" s="53"/>
      <c r="AC151" s="58"/>
      <c r="AD151" s="58"/>
      <c r="AE151" s="58"/>
      <c r="AF151" s="58"/>
      <c r="AG151" s="58"/>
      <c r="AH151" s="275">
        <v>250000</v>
      </c>
      <c r="AI151" s="275">
        <v>250000</v>
      </c>
      <c r="AJ151" s="275">
        <v>250000</v>
      </c>
      <c r="AK151" s="275">
        <v>250000</v>
      </c>
      <c r="AL151" s="275">
        <v>250000</v>
      </c>
      <c r="AM151" s="275">
        <v>250000</v>
      </c>
      <c r="AN151" s="275">
        <v>250000</v>
      </c>
      <c r="AO151" s="275">
        <f>125000+525000</f>
        <v>650000</v>
      </c>
      <c r="AP151" s="47"/>
      <c r="AQ151" s="53">
        <f t="shared" si="54"/>
        <v>2400000</v>
      </c>
      <c r="AR151" s="51"/>
      <c r="AS151" s="359">
        <f t="shared" si="52"/>
        <v>0</v>
      </c>
    </row>
    <row r="152" spans="1:47" s="36" customFormat="1" ht="15.75" x14ac:dyDescent="0.25">
      <c r="A152" s="104" t="s">
        <v>337</v>
      </c>
      <c r="B152" s="105" t="s">
        <v>422</v>
      </c>
      <c r="C152" s="341"/>
      <c r="D152" s="341"/>
      <c r="E152" s="445" t="s">
        <v>319</v>
      </c>
      <c r="F152" s="341"/>
      <c r="G152" s="341"/>
      <c r="H152" s="87" t="s">
        <v>319</v>
      </c>
      <c r="I152" s="341"/>
      <c r="J152" s="341"/>
      <c r="K152" s="341"/>
      <c r="L152" s="341"/>
      <c r="M152" s="341"/>
      <c r="N152" s="341"/>
      <c r="O152" s="341"/>
      <c r="P152" s="342"/>
      <c r="Q152" s="341"/>
      <c r="R152" s="341"/>
      <c r="S152" s="341"/>
      <c r="T152" s="341"/>
      <c r="U152" s="341"/>
      <c r="V152" s="342"/>
      <c r="W152" s="341"/>
      <c r="X152" s="341"/>
      <c r="Y152" s="341"/>
      <c r="Z152" s="52"/>
      <c r="AA152" s="181">
        <v>37392</v>
      </c>
      <c r="AB152" s="58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47"/>
      <c r="AQ152" s="53">
        <f t="shared" si="54"/>
        <v>0</v>
      </c>
      <c r="AR152" s="51"/>
      <c r="AS152" s="359">
        <f t="shared" si="52"/>
        <v>-37392</v>
      </c>
    </row>
    <row r="153" spans="1:47" s="36" customFormat="1" ht="15.75" x14ac:dyDescent="0.25">
      <c r="A153" s="283" t="s">
        <v>340</v>
      </c>
      <c r="B153" s="56" t="s">
        <v>429</v>
      </c>
      <c r="C153" s="341"/>
      <c r="D153" s="341"/>
      <c r="E153" s="445" t="s">
        <v>319</v>
      </c>
      <c r="F153" s="341"/>
      <c r="G153" s="341"/>
      <c r="H153" s="87" t="s">
        <v>319</v>
      </c>
      <c r="I153" s="341"/>
      <c r="J153" s="341"/>
      <c r="K153" s="341"/>
      <c r="L153" s="341"/>
      <c r="M153" s="341"/>
      <c r="N153" s="341"/>
      <c r="O153" s="341"/>
      <c r="P153" s="342"/>
      <c r="Q153" s="341"/>
      <c r="R153" s="341"/>
      <c r="S153" s="341"/>
      <c r="T153" s="341"/>
      <c r="U153" s="341"/>
      <c r="V153" s="342"/>
      <c r="W153" s="341"/>
      <c r="X153" s="341"/>
      <c r="Y153" s="341"/>
      <c r="Z153" s="52"/>
      <c r="AA153" s="182">
        <v>3575</v>
      </c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3"/>
      <c r="AP153" s="47"/>
      <c r="AQ153" s="53">
        <f t="shared" si="54"/>
        <v>0</v>
      </c>
      <c r="AR153" s="51"/>
      <c r="AS153" s="359">
        <f t="shared" si="52"/>
        <v>-3575</v>
      </c>
    </row>
    <row r="154" spans="1:47" s="36" customFormat="1" ht="15.75" x14ac:dyDescent="0.25">
      <c r="A154" s="113"/>
      <c r="B154" s="113" t="s">
        <v>797</v>
      </c>
      <c r="C154" s="341" t="s">
        <v>817</v>
      </c>
      <c r="D154" s="341"/>
      <c r="E154" s="445" t="s">
        <v>319</v>
      </c>
      <c r="F154" s="341"/>
      <c r="G154" s="341"/>
      <c r="H154" s="87" t="s">
        <v>319</v>
      </c>
      <c r="I154" s="341"/>
      <c r="J154" s="520"/>
      <c r="K154" s="341"/>
      <c r="L154" s="341"/>
      <c r="M154" s="341"/>
      <c r="N154" s="341"/>
      <c r="O154" s="341"/>
      <c r="P154" s="342"/>
      <c r="Q154" s="342"/>
      <c r="R154" s="341"/>
      <c r="S154" s="341"/>
      <c r="T154" s="341"/>
      <c r="U154" s="341"/>
      <c r="V154" s="342"/>
      <c r="W154" s="341"/>
      <c r="X154" s="341"/>
      <c r="Y154" s="341"/>
      <c r="Z154" s="50"/>
      <c r="AA154" s="53"/>
      <c r="AB154" s="211">
        <v>0</v>
      </c>
      <c r="AC154" s="115">
        <v>0</v>
      </c>
      <c r="AD154" s="115">
        <v>0</v>
      </c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3"/>
      <c r="AP154" s="47"/>
      <c r="AQ154" s="53">
        <f>SUM(AB154:AP154)</f>
        <v>0</v>
      </c>
      <c r="AR154" s="51"/>
      <c r="AS154" s="359">
        <f>AQ154-AA154</f>
        <v>0</v>
      </c>
    </row>
    <row r="155" spans="1:47" s="36" customFormat="1" ht="15.75" x14ac:dyDescent="0.25">
      <c r="A155" s="113"/>
      <c r="B155" s="114" t="s">
        <v>948</v>
      </c>
      <c r="C155" s="518" t="s">
        <v>843</v>
      </c>
      <c r="D155" s="518"/>
      <c r="E155" s="445" t="s">
        <v>319</v>
      </c>
      <c r="F155" s="341"/>
      <c r="G155" s="341"/>
      <c r="H155" s="87" t="s">
        <v>319</v>
      </c>
      <c r="I155" s="341"/>
      <c r="J155" s="518"/>
      <c r="K155" s="341"/>
      <c r="L155" s="341"/>
      <c r="M155" s="341"/>
      <c r="N155" s="341"/>
      <c r="O155" s="341"/>
      <c r="P155" s="342"/>
      <c r="Q155" s="342"/>
      <c r="R155" s="342"/>
      <c r="S155" s="341"/>
      <c r="T155" s="341"/>
      <c r="U155" s="341"/>
      <c r="V155" s="342"/>
      <c r="W155" s="342"/>
      <c r="X155" s="342"/>
      <c r="Y155" s="341"/>
      <c r="Z155" s="50"/>
      <c r="AA155" s="53">
        <v>3000000</v>
      </c>
      <c r="AB155" s="211">
        <v>0</v>
      </c>
      <c r="AC155" s="211">
        <v>0</v>
      </c>
      <c r="AD155" s="211">
        <v>0</v>
      </c>
      <c r="AE155" s="211">
        <v>0</v>
      </c>
      <c r="AF155" s="58"/>
      <c r="AG155" s="89"/>
      <c r="AH155" s="89"/>
      <c r="AI155" s="89"/>
      <c r="AJ155" s="89"/>
      <c r="AK155" s="58"/>
      <c r="AL155" s="58"/>
      <c r="AM155" s="58"/>
      <c r="AN155" s="58"/>
      <c r="AO155" s="53">
        <v>3000000</v>
      </c>
      <c r="AP155" s="47"/>
      <c r="AQ155" s="53">
        <f>SUM(AB155:AP155)</f>
        <v>3000000</v>
      </c>
      <c r="AR155" s="51"/>
      <c r="AS155" s="359">
        <f>AQ155-AA155</f>
        <v>0</v>
      </c>
      <c r="AU155" s="55"/>
    </row>
    <row r="156" spans="1:47" s="36" customFormat="1" ht="15.75" x14ac:dyDescent="0.25">
      <c r="A156" s="93"/>
      <c r="B156" s="94"/>
      <c r="C156" s="436"/>
      <c r="D156" s="436"/>
      <c r="E156" s="517"/>
      <c r="F156" s="471"/>
      <c r="G156" s="94"/>
      <c r="H156" s="91"/>
      <c r="I156" s="91"/>
      <c r="J156" s="436"/>
      <c r="K156" s="91"/>
      <c r="L156" s="91"/>
      <c r="M156" s="91"/>
      <c r="N156" s="91"/>
      <c r="O156" s="91"/>
      <c r="P156" s="92"/>
      <c r="Q156" s="91"/>
      <c r="R156" s="92"/>
      <c r="S156" s="91"/>
      <c r="T156" s="91"/>
      <c r="U156" s="91"/>
      <c r="V156" s="92"/>
      <c r="W156" s="92"/>
      <c r="X156" s="92"/>
      <c r="Y156" s="91"/>
      <c r="Z156" s="92"/>
      <c r="AA156" s="243">
        <f t="shared" ref="AA156:AO156" si="55">SUM(AA122:AA153)</f>
        <v>6907896.9000000004</v>
      </c>
      <c r="AB156" s="243"/>
      <c r="AC156" s="243">
        <f t="shared" si="55"/>
        <v>0</v>
      </c>
      <c r="AD156" s="243">
        <f t="shared" si="55"/>
        <v>0</v>
      </c>
      <c r="AE156" s="243">
        <f t="shared" si="55"/>
        <v>175000</v>
      </c>
      <c r="AF156" s="243">
        <f t="shared" si="55"/>
        <v>200000</v>
      </c>
      <c r="AG156" s="243">
        <f t="shared" si="55"/>
        <v>255000</v>
      </c>
      <c r="AH156" s="243">
        <f t="shared" si="55"/>
        <v>485000</v>
      </c>
      <c r="AI156" s="243">
        <f t="shared" si="55"/>
        <v>380000</v>
      </c>
      <c r="AJ156" s="243">
        <f t="shared" si="55"/>
        <v>380000</v>
      </c>
      <c r="AK156" s="243">
        <f t="shared" si="55"/>
        <v>355000</v>
      </c>
      <c r="AL156" s="243">
        <f t="shared" si="55"/>
        <v>250000</v>
      </c>
      <c r="AM156" s="243">
        <f t="shared" si="55"/>
        <v>450000</v>
      </c>
      <c r="AN156" s="243">
        <f t="shared" si="55"/>
        <v>250000</v>
      </c>
      <c r="AO156" s="243">
        <f t="shared" si="55"/>
        <v>650000</v>
      </c>
      <c r="AP156" s="47"/>
      <c r="AQ156" s="53">
        <f t="shared" si="54"/>
        <v>3830000</v>
      </c>
      <c r="AR156" s="51"/>
      <c r="AS156" s="359">
        <f t="shared" si="52"/>
        <v>-3077896.9000000004</v>
      </c>
    </row>
    <row r="157" spans="1:47" s="78" customFormat="1" ht="15.75" x14ac:dyDescent="0.25">
      <c r="A157"/>
      <c r="B157"/>
      <c r="C157" s="478"/>
      <c r="D157" s="478"/>
      <c r="E157" s="473"/>
      <c r="F157" s="473"/>
      <c r="G157" s="274"/>
      <c r="H157" s="74"/>
      <c r="I157" s="74"/>
      <c r="J157" s="74"/>
      <c r="K157" s="74"/>
      <c r="L157" s="74"/>
      <c r="M157" s="295"/>
      <c r="N157" s="295"/>
      <c r="O157" s="295"/>
      <c r="P157" s="296"/>
      <c r="Q157" s="295"/>
      <c r="R157" s="296"/>
      <c r="S157" s="74"/>
      <c r="T157" s="74"/>
      <c r="U157" s="74"/>
      <c r="V157" s="296"/>
      <c r="W157" s="38"/>
      <c r="X157" s="38"/>
      <c r="Y157" s="293"/>
      <c r="Z157" s="3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130"/>
      <c r="AP157" s="47"/>
      <c r="AR157" s="79"/>
      <c r="AS157" s="361"/>
    </row>
    <row r="158" spans="1:47" s="78" customFormat="1" ht="15.75" x14ac:dyDescent="0.25">
      <c r="A158"/>
      <c r="B158"/>
      <c r="C158" s="478"/>
      <c r="D158" s="478"/>
      <c r="E158" s="473"/>
      <c r="F158" s="473"/>
      <c r="G158" s="274"/>
      <c r="H158" s="74"/>
      <c r="I158" s="74"/>
      <c r="J158" s="74"/>
      <c r="K158" s="74"/>
      <c r="L158" s="74"/>
      <c r="M158" s="295"/>
      <c r="N158" s="295"/>
      <c r="O158" s="295"/>
      <c r="P158" s="296"/>
      <c r="Q158" s="295"/>
      <c r="R158" s="296"/>
      <c r="S158" s="74"/>
      <c r="T158" s="74"/>
      <c r="U158" s="74"/>
      <c r="V158" s="296"/>
      <c r="W158" s="38"/>
      <c r="X158" s="38"/>
      <c r="Y158" s="293"/>
      <c r="Z158" s="38"/>
      <c r="AB158" s="277"/>
      <c r="AC158" s="277"/>
      <c r="AD158" s="277"/>
      <c r="AE158" s="277"/>
      <c r="AF158" s="277"/>
      <c r="AG158" s="277"/>
      <c r="AH158" s="277"/>
      <c r="AI158" s="277"/>
      <c r="AJ158" s="277"/>
      <c r="AK158" s="277"/>
      <c r="AL158" s="277"/>
      <c r="AM158" s="277"/>
      <c r="AN158" s="277"/>
      <c r="AP158" s="47"/>
      <c r="AR158" s="79"/>
      <c r="AS158" s="361"/>
    </row>
    <row r="159" spans="1:47" s="78" customFormat="1" ht="15.75" x14ac:dyDescent="0.25">
      <c r="A159"/>
      <c r="B159"/>
      <c r="C159" s="478"/>
      <c r="D159" s="478"/>
      <c r="E159" s="473"/>
      <c r="F159" s="473"/>
      <c r="G159" s="274"/>
      <c r="H159" s="74"/>
      <c r="I159" s="74"/>
      <c r="J159" s="74"/>
      <c r="K159" s="74"/>
      <c r="L159" s="74"/>
      <c r="M159" s="295"/>
      <c r="N159" s="295"/>
      <c r="O159" s="295"/>
      <c r="P159" s="296"/>
      <c r="Q159" s="295"/>
      <c r="R159" s="296"/>
      <c r="S159" s="74"/>
      <c r="T159" s="74"/>
      <c r="U159" s="74"/>
      <c r="V159" s="296"/>
      <c r="W159" s="38"/>
      <c r="X159" s="38"/>
      <c r="Y159" s="293"/>
      <c r="Z159" s="38"/>
      <c r="AB159" s="277"/>
      <c r="AC159" s="277"/>
      <c r="AD159" s="277"/>
      <c r="AE159" s="277"/>
      <c r="AF159" s="277"/>
      <c r="AG159" s="277"/>
      <c r="AH159" s="277"/>
      <c r="AI159" s="277"/>
      <c r="AJ159" s="277"/>
      <c r="AK159" s="277"/>
      <c r="AL159" s="277"/>
      <c r="AM159" s="277"/>
      <c r="AN159" s="277"/>
      <c r="AP159" s="47"/>
      <c r="AR159" s="79"/>
      <c r="AS159" s="361"/>
    </row>
    <row r="160" spans="1:47" s="78" customFormat="1" ht="15.75" x14ac:dyDescent="0.25">
      <c r="A160"/>
      <c r="B160"/>
      <c r="C160" s="478"/>
      <c r="D160" s="478"/>
      <c r="E160" s="473"/>
      <c r="F160" s="473"/>
      <c r="G160" s="274"/>
      <c r="H160" s="74"/>
      <c r="I160" s="74"/>
      <c r="J160" s="74"/>
      <c r="K160" s="74"/>
      <c r="L160" s="74"/>
      <c r="M160" s="295"/>
      <c r="N160" s="295"/>
      <c r="O160" s="295"/>
      <c r="P160" s="296"/>
      <c r="Q160" s="295"/>
      <c r="R160" s="296"/>
      <c r="S160" s="74"/>
      <c r="T160" s="74"/>
      <c r="U160" s="74"/>
      <c r="V160" s="296"/>
      <c r="W160" s="38"/>
      <c r="X160" s="38"/>
      <c r="Y160" s="293"/>
      <c r="Z160" s="38"/>
      <c r="AB160" s="277"/>
      <c r="AC160" s="277"/>
      <c r="AD160" s="277"/>
      <c r="AE160" s="277"/>
      <c r="AF160" s="277"/>
      <c r="AG160" s="277"/>
      <c r="AH160" s="277"/>
      <c r="AI160" s="277"/>
      <c r="AJ160" s="277"/>
      <c r="AK160" s="277"/>
      <c r="AL160" s="277"/>
      <c r="AM160" s="277"/>
      <c r="AN160" s="277"/>
      <c r="AP160" s="47"/>
      <c r="AR160" s="79"/>
      <c r="AS160" s="361"/>
    </row>
    <row r="161" spans="1:45" s="78" customFormat="1" ht="15.75" x14ac:dyDescent="0.25">
      <c r="A161"/>
      <c r="B161"/>
      <c r="C161" s="478"/>
      <c r="D161" s="478"/>
      <c r="E161" s="473"/>
      <c r="F161" s="473"/>
      <c r="G161" s="274"/>
      <c r="H161" s="74"/>
      <c r="I161" s="74"/>
      <c r="J161" s="74"/>
      <c r="K161" s="74"/>
      <c r="L161" s="74"/>
      <c r="M161" s="295"/>
      <c r="N161" s="295"/>
      <c r="O161" s="295"/>
      <c r="P161" s="296"/>
      <c r="Q161" s="295"/>
      <c r="R161" s="296"/>
      <c r="S161" s="74"/>
      <c r="T161" s="74"/>
      <c r="U161" s="74"/>
      <c r="V161" s="296"/>
      <c r="W161" s="38"/>
      <c r="X161" s="38"/>
      <c r="Y161" s="293"/>
      <c r="Z161" s="38"/>
      <c r="AB161" s="277"/>
      <c r="AC161" s="277"/>
      <c r="AD161" s="277"/>
      <c r="AE161" s="277"/>
      <c r="AF161" s="277"/>
      <c r="AG161" s="277"/>
      <c r="AH161" s="277"/>
      <c r="AI161" s="277"/>
      <c r="AJ161" s="277"/>
      <c r="AK161" s="277"/>
      <c r="AL161" s="277"/>
      <c r="AM161" s="277"/>
      <c r="AN161" s="277"/>
      <c r="AP161" s="47"/>
      <c r="AR161" s="79"/>
      <c r="AS161" s="361"/>
    </row>
    <row r="162" spans="1:45" s="78" customFormat="1" ht="15.75" x14ac:dyDescent="0.25">
      <c r="A162"/>
      <c r="B162"/>
      <c r="C162" s="478"/>
      <c r="D162" s="478"/>
      <c r="E162" s="473"/>
      <c r="F162" s="473"/>
      <c r="G162" s="274"/>
      <c r="H162" s="74"/>
      <c r="I162" s="74"/>
      <c r="J162" s="74"/>
      <c r="K162" s="74"/>
      <c r="L162" s="74"/>
      <c r="M162" s="295"/>
      <c r="N162" s="295"/>
      <c r="O162" s="295"/>
      <c r="P162" s="296"/>
      <c r="Q162" s="295"/>
      <c r="R162" s="296"/>
      <c r="S162" s="74"/>
      <c r="T162" s="74"/>
      <c r="U162" s="74"/>
      <c r="V162" s="296"/>
      <c r="W162" s="38"/>
      <c r="X162" s="38"/>
      <c r="Y162" s="293"/>
      <c r="Z162" s="38"/>
      <c r="AB162" s="277"/>
      <c r="AC162" s="277"/>
      <c r="AD162" s="277"/>
      <c r="AE162" s="277"/>
      <c r="AF162" s="277"/>
      <c r="AG162" s="277"/>
      <c r="AH162" s="277"/>
      <c r="AI162" s="277"/>
      <c r="AJ162" s="277"/>
      <c r="AK162" s="277"/>
      <c r="AL162" s="277"/>
      <c r="AM162" s="277"/>
      <c r="AN162" s="277"/>
      <c r="AP162" s="47"/>
      <c r="AR162" s="79"/>
      <c r="AS162" s="361"/>
    </row>
    <row r="163" spans="1:45" s="78" customFormat="1" x14ac:dyDescent="0.25">
      <c r="A163"/>
      <c r="B163"/>
      <c r="C163" s="478"/>
      <c r="D163" s="478"/>
      <c r="E163" s="473"/>
      <c r="F163" s="473"/>
      <c r="G163" s="274"/>
      <c r="H163" s="74"/>
      <c r="I163" s="74"/>
      <c r="J163" s="74"/>
      <c r="K163" s="74"/>
      <c r="L163" s="74"/>
      <c r="M163" s="295"/>
      <c r="N163" s="295"/>
      <c r="O163" s="295"/>
      <c r="P163" s="296"/>
      <c r="Q163" s="295"/>
      <c r="R163" s="296"/>
      <c r="S163" s="74"/>
      <c r="T163" s="74"/>
      <c r="U163" s="74"/>
      <c r="V163" s="296"/>
      <c r="W163" s="38"/>
      <c r="X163" s="38"/>
      <c r="Y163" s="293"/>
      <c r="Z163" s="38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277"/>
      <c r="AL163" s="277"/>
      <c r="AM163" s="277"/>
      <c r="AN163" s="277"/>
      <c r="AP163" s="79"/>
      <c r="AR163" s="79"/>
      <c r="AS163" s="361"/>
    </row>
    <row r="164" spans="1:45" s="78" customFormat="1" x14ac:dyDescent="0.25">
      <c r="A164"/>
      <c r="B164"/>
      <c r="C164" s="478"/>
      <c r="D164" s="478"/>
      <c r="E164" s="473"/>
      <c r="F164" s="473"/>
      <c r="G164" s="274"/>
      <c r="H164" s="74"/>
      <c r="I164" s="74"/>
      <c r="J164" s="74"/>
      <c r="K164" s="74"/>
      <c r="L164" s="74"/>
      <c r="M164" s="295"/>
      <c r="N164" s="295"/>
      <c r="O164" s="295"/>
      <c r="P164" s="296"/>
      <c r="Q164" s="295"/>
      <c r="R164" s="296"/>
      <c r="S164" s="74"/>
      <c r="T164" s="74"/>
      <c r="U164" s="74"/>
      <c r="V164" s="296"/>
      <c r="W164" s="38"/>
      <c r="X164" s="38"/>
      <c r="Y164" s="293"/>
      <c r="Z164" s="38"/>
      <c r="AB164" s="277"/>
      <c r="AC164" s="277"/>
      <c r="AD164" s="277"/>
      <c r="AE164" s="277"/>
      <c r="AF164" s="277"/>
      <c r="AG164" s="277"/>
      <c r="AH164" s="277"/>
      <c r="AI164" s="277"/>
      <c r="AJ164" s="277"/>
      <c r="AK164" s="277"/>
      <c r="AL164" s="277"/>
      <c r="AM164" s="277"/>
      <c r="AN164" s="277"/>
      <c r="AP164" s="79"/>
      <c r="AR164" s="79"/>
      <c r="AS164" s="361"/>
    </row>
    <row r="165" spans="1:45" x14ac:dyDescent="0.25">
      <c r="C165" s="478"/>
      <c r="D165" s="478"/>
      <c r="E165" s="473"/>
      <c r="F165" s="473"/>
      <c r="G165" s="274"/>
    </row>
    <row r="166" spans="1:45" x14ac:dyDescent="0.25">
      <c r="C166" s="478"/>
      <c r="D166" s="478"/>
      <c r="E166" s="473"/>
      <c r="F166" s="473"/>
      <c r="G166" s="274"/>
    </row>
    <row r="167" spans="1:45" x14ac:dyDescent="0.25">
      <c r="C167" s="478"/>
      <c r="D167" s="478"/>
      <c r="E167" s="473"/>
      <c r="F167" s="473"/>
      <c r="G167" s="274"/>
    </row>
    <row r="168" spans="1:45" x14ac:dyDescent="0.25">
      <c r="C168" s="478"/>
      <c r="D168" s="478"/>
      <c r="E168" s="473"/>
      <c r="F168" s="473"/>
      <c r="G168" s="274"/>
    </row>
    <row r="169" spans="1:45" x14ac:dyDescent="0.25">
      <c r="C169" s="478"/>
      <c r="D169" s="478"/>
      <c r="E169" s="473"/>
      <c r="F169" s="473"/>
      <c r="G169" s="274"/>
    </row>
    <row r="170" spans="1:45" x14ac:dyDescent="0.25">
      <c r="C170" s="478"/>
      <c r="D170" s="478"/>
      <c r="E170" s="473"/>
      <c r="F170" s="473"/>
      <c r="G170" s="274"/>
    </row>
    <row r="171" spans="1:45" x14ac:dyDescent="0.25">
      <c r="C171" s="478"/>
      <c r="D171" s="478"/>
      <c r="E171" s="473"/>
      <c r="F171" s="473"/>
      <c r="G171" s="274"/>
    </row>
    <row r="172" spans="1:45" x14ac:dyDescent="0.25">
      <c r="C172" s="478"/>
      <c r="D172" s="478"/>
      <c r="E172" s="473"/>
      <c r="F172" s="473"/>
      <c r="G172" s="274"/>
    </row>
    <row r="173" spans="1:45" x14ac:dyDescent="0.25">
      <c r="C173" s="478"/>
      <c r="D173" s="478"/>
      <c r="E173" s="473"/>
      <c r="F173" s="473"/>
      <c r="G173" s="274"/>
    </row>
    <row r="174" spans="1:45" x14ac:dyDescent="0.25">
      <c r="C174" s="478"/>
      <c r="D174" s="478"/>
      <c r="E174" s="473"/>
      <c r="F174" s="473"/>
      <c r="G174" s="274"/>
    </row>
    <row r="175" spans="1:45" x14ac:dyDescent="0.25">
      <c r="C175" s="478"/>
      <c r="D175" s="478"/>
      <c r="E175" s="473"/>
      <c r="F175" s="473"/>
      <c r="G175" s="274"/>
    </row>
    <row r="176" spans="1:45" x14ac:dyDescent="0.25">
      <c r="C176" s="478"/>
      <c r="D176" s="478"/>
      <c r="E176" s="473"/>
      <c r="F176" s="473"/>
      <c r="G176" s="274"/>
    </row>
    <row r="177" spans="3:7" x14ac:dyDescent="0.25">
      <c r="C177" s="478"/>
      <c r="D177" s="478"/>
      <c r="E177" s="473"/>
      <c r="F177" s="473"/>
      <c r="G177" s="274"/>
    </row>
    <row r="178" spans="3:7" x14ac:dyDescent="0.25">
      <c r="C178" s="478"/>
      <c r="D178" s="478"/>
      <c r="E178" s="473"/>
      <c r="F178" s="473"/>
      <c r="G178" s="274"/>
    </row>
    <row r="179" spans="3:7" x14ac:dyDescent="0.25">
      <c r="C179" s="478"/>
      <c r="D179" s="478"/>
      <c r="E179" s="473"/>
      <c r="F179" s="473"/>
      <c r="G179" s="274"/>
    </row>
    <row r="180" spans="3:7" x14ac:dyDescent="0.25">
      <c r="C180" s="478"/>
      <c r="D180" s="478"/>
      <c r="E180" s="473"/>
      <c r="F180" s="473"/>
      <c r="G180" s="274"/>
    </row>
    <row r="181" spans="3:7" x14ac:dyDescent="0.25">
      <c r="C181" s="478"/>
      <c r="D181" s="478"/>
      <c r="E181" s="473"/>
      <c r="F181" s="473"/>
      <c r="G181" s="274"/>
    </row>
    <row r="182" spans="3:7" x14ac:dyDescent="0.25">
      <c r="C182" s="478"/>
      <c r="D182" s="478"/>
      <c r="E182" s="473"/>
      <c r="F182" s="473"/>
      <c r="G182" s="274"/>
    </row>
    <row r="183" spans="3:7" x14ac:dyDescent="0.25">
      <c r="C183" s="478"/>
      <c r="D183" s="478"/>
      <c r="E183" s="473"/>
      <c r="F183" s="473"/>
      <c r="G183" s="274"/>
    </row>
    <row r="184" spans="3:7" x14ac:dyDescent="0.25">
      <c r="C184" s="478"/>
      <c r="D184" s="478"/>
      <c r="E184" s="473"/>
      <c r="F184" s="473"/>
      <c r="G184" s="274"/>
    </row>
    <row r="185" spans="3:7" x14ac:dyDescent="0.25">
      <c r="C185" s="478"/>
      <c r="D185" s="478"/>
      <c r="E185" s="473"/>
      <c r="F185" s="473"/>
      <c r="G185" s="274"/>
    </row>
    <row r="186" spans="3:7" x14ac:dyDescent="0.25">
      <c r="C186" s="478"/>
      <c r="D186" s="478"/>
      <c r="E186" s="473"/>
      <c r="F186" s="473"/>
      <c r="G186" s="274"/>
    </row>
    <row r="187" spans="3:7" x14ac:dyDescent="0.25">
      <c r="C187" s="478"/>
      <c r="D187" s="478"/>
      <c r="E187" s="473"/>
      <c r="F187" s="473"/>
      <c r="G187" s="274"/>
    </row>
    <row r="188" spans="3:7" x14ac:dyDescent="0.25">
      <c r="C188" s="478"/>
      <c r="D188" s="478"/>
      <c r="E188" s="473"/>
      <c r="F188" s="473"/>
      <c r="G188" s="274"/>
    </row>
    <row r="189" spans="3:7" x14ac:dyDescent="0.25">
      <c r="C189" s="478"/>
      <c r="D189" s="478"/>
      <c r="E189" s="473"/>
      <c r="F189" s="473"/>
      <c r="G189" s="274"/>
    </row>
    <row r="190" spans="3:7" x14ac:dyDescent="0.25">
      <c r="C190" s="478"/>
      <c r="D190" s="478"/>
      <c r="E190" s="473"/>
      <c r="F190" s="473"/>
      <c r="G190" s="274"/>
    </row>
    <row r="191" spans="3:7" x14ac:dyDescent="0.25">
      <c r="C191" s="478"/>
      <c r="D191" s="478"/>
      <c r="E191" s="473"/>
      <c r="F191" s="473"/>
      <c r="G191" s="274"/>
    </row>
    <row r="192" spans="3:7" x14ac:dyDescent="0.25">
      <c r="C192" s="478"/>
      <c r="D192" s="478"/>
      <c r="E192" s="473"/>
      <c r="F192" s="473"/>
      <c r="G192" s="274"/>
    </row>
    <row r="193" spans="3:7" x14ac:dyDescent="0.25">
      <c r="C193" s="478"/>
      <c r="D193" s="478"/>
      <c r="E193" s="473"/>
      <c r="F193" s="473"/>
      <c r="G193" s="274"/>
    </row>
    <row r="194" spans="3:7" x14ac:dyDescent="0.25">
      <c r="C194" s="478"/>
      <c r="D194" s="478"/>
      <c r="E194" s="473"/>
      <c r="F194" s="473"/>
      <c r="G194" s="274"/>
    </row>
    <row r="195" spans="3:7" x14ac:dyDescent="0.25">
      <c r="C195" s="478"/>
      <c r="D195" s="478"/>
      <c r="E195" s="473"/>
      <c r="F195" s="473"/>
      <c r="G195" s="274"/>
    </row>
    <row r="196" spans="3:7" x14ac:dyDescent="0.25">
      <c r="C196" s="478"/>
      <c r="D196" s="478"/>
      <c r="E196" s="473"/>
      <c r="F196" s="473"/>
      <c r="G196" s="274"/>
    </row>
    <row r="197" spans="3:7" x14ac:dyDescent="0.25">
      <c r="C197" s="478"/>
      <c r="D197" s="478"/>
      <c r="E197" s="473"/>
      <c r="F197" s="473"/>
      <c r="G197" s="274"/>
    </row>
    <row r="198" spans="3:7" x14ac:dyDescent="0.25">
      <c r="C198" s="478"/>
      <c r="D198" s="478"/>
      <c r="E198" s="473"/>
      <c r="F198" s="473"/>
      <c r="G198" s="274"/>
    </row>
    <row r="199" spans="3:7" x14ac:dyDescent="0.25">
      <c r="C199" s="478"/>
      <c r="D199" s="478"/>
      <c r="E199" s="473"/>
      <c r="F199" s="473"/>
      <c r="G199" s="274"/>
    </row>
    <row r="200" spans="3:7" x14ac:dyDescent="0.25">
      <c r="C200" s="478"/>
      <c r="D200" s="478"/>
      <c r="E200" s="473"/>
      <c r="F200" s="473"/>
      <c r="G200" s="274"/>
    </row>
    <row r="201" spans="3:7" x14ac:dyDescent="0.25">
      <c r="C201" s="478"/>
      <c r="D201" s="478"/>
      <c r="E201" s="473"/>
      <c r="F201" s="473"/>
      <c r="G201" s="274"/>
    </row>
    <row r="202" spans="3:7" x14ac:dyDescent="0.25">
      <c r="C202" s="478"/>
      <c r="D202" s="478"/>
      <c r="E202" s="473"/>
      <c r="F202" s="473"/>
      <c r="G202" s="274"/>
    </row>
    <row r="203" spans="3:7" x14ac:dyDescent="0.25">
      <c r="C203" s="478"/>
      <c r="D203" s="478"/>
      <c r="E203" s="473"/>
      <c r="F203" s="473"/>
      <c r="G203" s="274"/>
    </row>
    <row r="204" spans="3:7" x14ac:dyDescent="0.25">
      <c r="C204" s="478"/>
      <c r="D204" s="478"/>
      <c r="E204" s="473"/>
      <c r="F204" s="473"/>
      <c r="G204" s="274"/>
    </row>
    <row r="205" spans="3:7" x14ac:dyDescent="0.25">
      <c r="C205" s="478"/>
      <c r="D205" s="478"/>
      <c r="E205" s="473"/>
      <c r="F205" s="473"/>
      <c r="G205" s="274"/>
    </row>
    <row r="206" spans="3:7" x14ac:dyDescent="0.25">
      <c r="C206" s="478"/>
      <c r="D206" s="478"/>
      <c r="E206" s="473"/>
      <c r="F206" s="473"/>
      <c r="G206" s="274"/>
    </row>
    <row r="207" spans="3:7" x14ac:dyDescent="0.25">
      <c r="C207" s="478"/>
      <c r="D207" s="478"/>
      <c r="E207" s="473"/>
      <c r="F207" s="473"/>
      <c r="G207" s="274"/>
    </row>
    <row r="208" spans="3:7" x14ac:dyDescent="0.25">
      <c r="C208" s="478"/>
      <c r="D208" s="478"/>
      <c r="E208" s="473"/>
      <c r="F208" s="473"/>
      <c r="G208" s="274"/>
    </row>
    <row r="209" spans="3:7" x14ac:dyDescent="0.25">
      <c r="C209" s="478"/>
      <c r="D209" s="478"/>
      <c r="E209" s="473"/>
      <c r="F209" s="473"/>
      <c r="G209" s="274"/>
    </row>
    <row r="210" spans="3:7" x14ac:dyDescent="0.25">
      <c r="C210" s="478"/>
      <c r="D210" s="478"/>
      <c r="E210" s="473"/>
      <c r="F210" s="473"/>
      <c r="G210" s="274"/>
    </row>
    <row r="211" spans="3:7" x14ac:dyDescent="0.25">
      <c r="C211" s="478"/>
      <c r="D211" s="478"/>
      <c r="E211" s="473"/>
      <c r="F211" s="473"/>
      <c r="G211" s="274"/>
    </row>
    <row r="212" spans="3:7" x14ac:dyDescent="0.25">
      <c r="C212" s="478"/>
      <c r="D212" s="478"/>
      <c r="E212" s="473"/>
      <c r="F212" s="473"/>
      <c r="G212" s="274"/>
    </row>
    <row r="213" spans="3:7" x14ac:dyDescent="0.25">
      <c r="C213" s="478"/>
      <c r="D213" s="478"/>
      <c r="E213" s="473"/>
      <c r="F213" s="473"/>
      <c r="G213" s="274"/>
    </row>
    <row r="214" spans="3:7" x14ac:dyDescent="0.25">
      <c r="C214" s="478"/>
      <c r="D214" s="478"/>
      <c r="E214" s="473"/>
      <c r="F214" s="473"/>
      <c r="G214" s="274"/>
    </row>
    <row r="215" spans="3:7" x14ac:dyDescent="0.25">
      <c r="C215" s="478"/>
      <c r="D215" s="478"/>
      <c r="E215" s="473"/>
      <c r="F215" s="473"/>
      <c r="G215" s="274"/>
    </row>
    <row r="216" spans="3:7" x14ac:dyDescent="0.25">
      <c r="C216" s="478"/>
      <c r="D216" s="478"/>
      <c r="E216" s="473"/>
      <c r="F216" s="473"/>
      <c r="G216" s="274"/>
    </row>
    <row r="217" spans="3:7" x14ac:dyDescent="0.25">
      <c r="C217" s="478"/>
      <c r="D217" s="478"/>
      <c r="E217" s="473"/>
      <c r="F217" s="473"/>
      <c r="G217" s="274"/>
    </row>
    <row r="218" spans="3:7" x14ac:dyDescent="0.25">
      <c r="C218" s="478"/>
      <c r="D218" s="478"/>
      <c r="E218" s="473"/>
      <c r="F218" s="473"/>
      <c r="G218" s="274"/>
    </row>
    <row r="219" spans="3:7" x14ac:dyDescent="0.25">
      <c r="C219" s="478"/>
      <c r="D219" s="478"/>
      <c r="E219" s="473"/>
      <c r="F219" s="473"/>
      <c r="G219" s="274"/>
    </row>
    <row r="220" spans="3:7" x14ac:dyDescent="0.25">
      <c r="C220" s="478"/>
      <c r="D220" s="478"/>
      <c r="E220" s="473"/>
      <c r="F220" s="473"/>
      <c r="G220" s="274"/>
    </row>
    <row r="221" spans="3:7" x14ac:dyDescent="0.25">
      <c r="C221" s="478"/>
      <c r="D221" s="478"/>
      <c r="E221" s="473"/>
      <c r="F221" s="473"/>
      <c r="G221" s="274"/>
    </row>
    <row r="222" spans="3:7" x14ac:dyDescent="0.25">
      <c r="C222" s="478"/>
      <c r="D222" s="478"/>
      <c r="E222" s="473"/>
      <c r="F222" s="473"/>
      <c r="G222" s="274"/>
    </row>
    <row r="223" spans="3:7" x14ac:dyDescent="0.25">
      <c r="C223" s="478"/>
      <c r="D223" s="478"/>
      <c r="E223" s="473"/>
      <c r="F223" s="473"/>
      <c r="G223" s="274"/>
    </row>
    <row r="224" spans="3:7" x14ac:dyDescent="0.25">
      <c r="C224" s="478"/>
      <c r="D224" s="478"/>
      <c r="E224" s="473"/>
      <c r="F224" s="473"/>
      <c r="G224" s="274"/>
    </row>
    <row r="225" spans="3:7" x14ac:dyDescent="0.25">
      <c r="C225" s="478"/>
      <c r="D225" s="478"/>
      <c r="E225" s="473"/>
      <c r="F225" s="473"/>
      <c r="G225" s="274"/>
    </row>
    <row r="226" spans="3:7" x14ac:dyDescent="0.25">
      <c r="C226" s="478"/>
      <c r="D226" s="478"/>
      <c r="E226" s="473"/>
      <c r="F226" s="473"/>
      <c r="G226" s="274"/>
    </row>
    <row r="227" spans="3:7" x14ac:dyDescent="0.25">
      <c r="C227" s="478"/>
      <c r="D227" s="478"/>
      <c r="E227" s="473"/>
      <c r="F227" s="473"/>
      <c r="G227" s="274"/>
    </row>
    <row r="228" spans="3:7" x14ac:dyDescent="0.25">
      <c r="C228" s="478"/>
      <c r="D228" s="478"/>
      <c r="E228" s="473"/>
      <c r="F228" s="473"/>
      <c r="G228" s="274"/>
    </row>
    <row r="229" spans="3:7" x14ac:dyDescent="0.25">
      <c r="C229" s="478"/>
      <c r="D229" s="478"/>
      <c r="E229" s="473"/>
      <c r="F229" s="473"/>
      <c r="G229" s="274"/>
    </row>
    <row r="230" spans="3:7" x14ac:dyDescent="0.25">
      <c r="C230" s="478"/>
      <c r="D230" s="478"/>
      <c r="E230" s="473"/>
      <c r="F230" s="473"/>
      <c r="G230" s="274"/>
    </row>
    <row r="231" spans="3:7" x14ac:dyDescent="0.25">
      <c r="C231" s="478"/>
      <c r="D231" s="478"/>
      <c r="E231" s="473"/>
      <c r="F231" s="473"/>
      <c r="G231" s="274"/>
    </row>
    <row r="232" spans="3:7" x14ac:dyDescent="0.25">
      <c r="C232" s="478"/>
      <c r="D232" s="478"/>
      <c r="E232" s="473"/>
      <c r="F232" s="473"/>
      <c r="G232" s="274"/>
    </row>
    <row r="233" spans="3:7" x14ac:dyDescent="0.25">
      <c r="C233" s="478"/>
      <c r="D233" s="478"/>
      <c r="E233" s="473"/>
      <c r="F233" s="473"/>
      <c r="G233" s="274"/>
    </row>
    <row r="234" spans="3:7" x14ac:dyDescent="0.25">
      <c r="C234" s="478"/>
      <c r="D234" s="478"/>
      <c r="E234" s="473"/>
      <c r="F234" s="473"/>
      <c r="G234" s="274"/>
    </row>
    <row r="235" spans="3:7" x14ac:dyDescent="0.25">
      <c r="C235" s="478"/>
      <c r="D235" s="478"/>
      <c r="E235" s="473"/>
      <c r="F235" s="473"/>
      <c r="G235" s="274"/>
    </row>
    <row r="236" spans="3:7" x14ac:dyDescent="0.25">
      <c r="C236" s="478"/>
      <c r="D236" s="478"/>
      <c r="E236" s="473"/>
      <c r="F236" s="473"/>
      <c r="G236" s="274"/>
    </row>
    <row r="237" spans="3:7" x14ac:dyDescent="0.25">
      <c r="C237" s="478"/>
      <c r="D237" s="478"/>
      <c r="E237" s="473"/>
      <c r="F237" s="473"/>
      <c r="G237" s="274"/>
    </row>
    <row r="238" spans="3:7" x14ac:dyDescent="0.25">
      <c r="C238" s="478"/>
      <c r="D238" s="478"/>
      <c r="E238" s="473"/>
      <c r="F238" s="473"/>
      <c r="G238" s="274"/>
    </row>
    <row r="239" spans="3:7" x14ac:dyDescent="0.25">
      <c r="C239" s="478"/>
      <c r="D239" s="478"/>
      <c r="E239" s="473"/>
      <c r="F239" s="473"/>
      <c r="G239" s="274"/>
    </row>
    <row r="240" spans="3:7" x14ac:dyDescent="0.25">
      <c r="C240" s="478"/>
      <c r="D240" s="478"/>
      <c r="E240" s="473"/>
      <c r="F240" s="473"/>
      <c r="G240" s="274"/>
    </row>
    <row r="241" spans="3:7" x14ac:dyDescent="0.25">
      <c r="C241" s="478"/>
      <c r="D241" s="478"/>
      <c r="E241" s="473"/>
      <c r="F241" s="473"/>
      <c r="G241" s="274"/>
    </row>
    <row r="242" spans="3:7" x14ac:dyDescent="0.25">
      <c r="C242" s="478"/>
      <c r="D242" s="478"/>
      <c r="E242" s="473"/>
      <c r="F242" s="473"/>
      <c r="G242" s="274"/>
    </row>
    <row r="243" spans="3:7" x14ac:dyDescent="0.25">
      <c r="C243" s="478"/>
      <c r="D243" s="478"/>
      <c r="E243" s="473"/>
      <c r="F243" s="473"/>
      <c r="G243" s="274"/>
    </row>
    <row r="244" spans="3:7" x14ac:dyDescent="0.25">
      <c r="C244" s="478"/>
      <c r="D244" s="478"/>
      <c r="E244" s="473"/>
      <c r="F244" s="473"/>
      <c r="G244" s="274"/>
    </row>
    <row r="245" spans="3:7" x14ac:dyDescent="0.25">
      <c r="C245" s="478"/>
      <c r="D245" s="478"/>
      <c r="E245" s="473"/>
      <c r="F245" s="473"/>
      <c r="G245" s="274"/>
    </row>
    <row r="246" spans="3:7" x14ac:dyDescent="0.25">
      <c r="C246" s="478"/>
      <c r="D246" s="478"/>
      <c r="E246" s="473"/>
      <c r="F246" s="473"/>
      <c r="G246" s="274"/>
    </row>
    <row r="247" spans="3:7" x14ac:dyDescent="0.25">
      <c r="C247" s="478"/>
      <c r="D247" s="478"/>
      <c r="E247" s="473"/>
      <c r="F247" s="473"/>
      <c r="G247" s="274"/>
    </row>
    <row r="248" spans="3:7" x14ac:dyDescent="0.25">
      <c r="C248" s="478"/>
      <c r="D248" s="478"/>
      <c r="E248" s="473"/>
      <c r="F248" s="473"/>
      <c r="G248" s="274"/>
    </row>
    <row r="249" spans="3:7" x14ac:dyDescent="0.25">
      <c r="C249" s="478"/>
      <c r="D249" s="478"/>
      <c r="E249" s="473"/>
      <c r="F249" s="473"/>
      <c r="G249" s="274"/>
    </row>
    <row r="250" spans="3:7" x14ac:dyDescent="0.25">
      <c r="C250" s="478"/>
      <c r="D250" s="478"/>
      <c r="E250" s="473"/>
      <c r="F250" s="473"/>
      <c r="G250" s="274"/>
    </row>
    <row r="251" spans="3:7" x14ac:dyDescent="0.25">
      <c r="C251" s="478"/>
      <c r="D251" s="478"/>
      <c r="E251" s="473"/>
      <c r="F251" s="473"/>
      <c r="G251" s="274"/>
    </row>
    <row r="252" spans="3:7" x14ac:dyDescent="0.25">
      <c r="C252" s="478"/>
      <c r="D252" s="478"/>
      <c r="E252" s="473"/>
      <c r="F252" s="473"/>
      <c r="G252" s="274"/>
    </row>
    <row r="253" spans="3:7" x14ac:dyDescent="0.25">
      <c r="C253" s="478"/>
      <c r="D253" s="478"/>
      <c r="E253" s="473"/>
      <c r="F253" s="473"/>
      <c r="G253" s="274"/>
    </row>
    <row r="254" spans="3:7" x14ac:dyDescent="0.25">
      <c r="C254" s="478"/>
      <c r="D254" s="478"/>
      <c r="E254" s="473"/>
      <c r="F254" s="473"/>
      <c r="G254" s="274"/>
    </row>
    <row r="255" spans="3:7" x14ac:dyDescent="0.25">
      <c r="C255" s="478"/>
      <c r="D255" s="478"/>
      <c r="E255" s="473"/>
      <c r="F255" s="473"/>
      <c r="G255" s="274"/>
    </row>
    <row r="256" spans="3:7" x14ac:dyDescent="0.25">
      <c r="C256" s="478"/>
      <c r="D256" s="478"/>
      <c r="E256" s="473"/>
      <c r="F256" s="473"/>
      <c r="G256" s="274"/>
    </row>
    <row r="257" spans="3:7" x14ac:dyDescent="0.25">
      <c r="C257" s="478"/>
      <c r="D257" s="478"/>
      <c r="E257" s="473"/>
      <c r="F257" s="473"/>
      <c r="G257" s="274"/>
    </row>
    <row r="258" spans="3:7" x14ac:dyDescent="0.25">
      <c r="C258" s="478"/>
      <c r="D258" s="478"/>
      <c r="E258" s="473"/>
      <c r="F258" s="473"/>
      <c r="G258" s="274"/>
    </row>
    <row r="259" spans="3:7" x14ac:dyDescent="0.25">
      <c r="C259" s="478"/>
      <c r="D259" s="478"/>
      <c r="E259" s="473"/>
      <c r="F259" s="473"/>
      <c r="G259" s="274"/>
    </row>
    <row r="260" spans="3:7" x14ac:dyDescent="0.25">
      <c r="C260" s="478"/>
      <c r="D260" s="478"/>
      <c r="E260" s="473"/>
      <c r="F260" s="473"/>
      <c r="G260" s="274"/>
    </row>
    <row r="261" spans="3:7" x14ac:dyDescent="0.25">
      <c r="C261" s="478"/>
      <c r="D261" s="478"/>
      <c r="E261" s="473"/>
      <c r="F261" s="473"/>
      <c r="G261" s="274"/>
    </row>
    <row r="262" spans="3:7" x14ac:dyDescent="0.25">
      <c r="C262" s="478"/>
      <c r="D262" s="478"/>
      <c r="E262" s="473"/>
      <c r="F262" s="473"/>
      <c r="G262" s="274"/>
    </row>
    <row r="263" spans="3:7" x14ac:dyDescent="0.25">
      <c r="C263" s="478"/>
      <c r="D263" s="478"/>
      <c r="E263" s="473"/>
      <c r="F263" s="473"/>
      <c r="G263" s="274"/>
    </row>
    <row r="264" spans="3:7" x14ac:dyDescent="0.25">
      <c r="C264" s="478"/>
      <c r="D264" s="478"/>
      <c r="E264" s="473"/>
      <c r="F264" s="473"/>
      <c r="G264" s="274"/>
    </row>
    <row r="265" spans="3:7" x14ac:dyDescent="0.25">
      <c r="C265" s="478"/>
      <c r="D265" s="478"/>
      <c r="E265" s="473"/>
      <c r="F265" s="473"/>
      <c r="G265" s="274"/>
    </row>
    <row r="266" spans="3:7" x14ac:dyDescent="0.25">
      <c r="C266" s="478"/>
      <c r="D266" s="478"/>
      <c r="E266" s="473"/>
      <c r="F266" s="473"/>
      <c r="G266" s="274"/>
    </row>
    <row r="267" spans="3:7" x14ac:dyDescent="0.25">
      <c r="C267" s="478"/>
      <c r="D267" s="478"/>
      <c r="E267" s="473"/>
      <c r="F267" s="473"/>
      <c r="G267" s="274"/>
    </row>
    <row r="268" spans="3:7" x14ac:dyDescent="0.25">
      <c r="C268" s="478"/>
      <c r="D268" s="478"/>
      <c r="E268" s="473"/>
      <c r="F268" s="473"/>
      <c r="G268" s="274"/>
    </row>
    <row r="269" spans="3:7" x14ac:dyDescent="0.25">
      <c r="C269" s="478"/>
      <c r="D269" s="478"/>
      <c r="E269" s="473"/>
      <c r="F269" s="473"/>
      <c r="G269" s="274"/>
    </row>
    <row r="270" spans="3:7" x14ac:dyDescent="0.25">
      <c r="C270" s="478"/>
      <c r="D270" s="478"/>
      <c r="E270" s="473"/>
      <c r="F270" s="473"/>
      <c r="G270" s="274"/>
    </row>
    <row r="271" spans="3:7" x14ac:dyDescent="0.25">
      <c r="C271" s="478"/>
      <c r="D271" s="478"/>
      <c r="E271" s="473"/>
      <c r="F271" s="473"/>
      <c r="G271" s="274"/>
    </row>
    <row r="272" spans="3:7" x14ac:dyDescent="0.25">
      <c r="C272" s="478"/>
      <c r="D272" s="478"/>
      <c r="E272" s="473"/>
      <c r="F272" s="473"/>
      <c r="G272" s="274"/>
    </row>
    <row r="273" spans="3:7" x14ac:dyDescent="0.25">
      <c r="C273" s="478"/>
      <c r="D273" s="478"/>
      <c r="E273" s="473"/>
      <c r="F273" s="473"/>
      <c r="G273" s="274"/>
    </row>
    <row r="274" spans="3:7" x14ac:dyDescent="0.25">
      <c r="C274" s="478"/>
      <c r="D274" s="478"/>
      <c r="E274" s="473"/>
      <c r="F274" s="473"/>
      <c r="G274" s="274"/>
    </row>
    <row r="275" spans="3:7" x14ac:dyDescent="0.25">
      <c r="C275" s="478"/>
      <c r="D275" s="478"/>
      <c r="E275" s="473"/>
      <c r="F275" s="473"/>
      <c r="G275" s="274"/>
    </row>
    <row r="276" spans="3:7" x14ac:dyDescent="0.25">
      <c r="C276" s="478"/>
      <c r="D276" s="478"/>
      <c r="E276" s="473"/>
      <c r="F276" s="473"/>
      <c r="G276" s="274"/>
    </row>
    <row r="277" spans="3:7" x14ac:dyDescent="0.25">
      <c r="C277" s="478"/>
      <c r="D277" s="478"/>
      <c r="E277" s="473"/>
      <c r="F277" s="473"/>
      <c r="G277" s="274"/>
    </row>
    <row r="278" spans="3:7" x14ac:dyDescent="0.25">
      <c r="C278" s="478"/>
      <c r="D278" s="478"/>
      <c r="E278" s="473"/>
      <c r="F278" s="473"/>
      <c r="G278" s="274"/>
    </row>
    <row r="279" spans="3:7" x14ac:dyDescent="0.25">
      <c r="C279" s="478"/>
      <c r="D279" s="478"/>
      <c r="E279" s="473"/>
      <c r="F279" s="473"/>
      <c r="G279" s="274"/>
    </row>
    <row r="280" spans="3:7" x14ac:dyDescent="0.25">
      <c r="C280" s="478"/>
      <c r="D280" s="478"/>
      <c r="E280" s="473"/>
      <c r="F280" s="473"/>
      <c r="G280" s="274"/>
    </row>
    <row r="281" spans="3:7" x14ac:dyDescent="0.25">
      <c r="C281" s="478"/>
      <c r="D281" s="478"/>
      <c r="E281" s="473"/>
      <c r="F281" s="473"/>
      <c r="G281" s="274"/>
    </row>
    <row r="282" spans="3:7" x14ac:dyDescent="0.25">
      <c r="C282" s="478"/>
      <c r="D282" s="478"/>
      <c r="E282" s="473"/>
      <c r="F282" s="473"/>
      <c r="G282" s="274"/>
    </row>
    <row r="283" spans="3:7" x14ac:dyDescent="0.25">
      <c r="C283" s="478"/>
      <c r="D283" s="478"/>
      <c r="E283" s="473"/>
      <c r="F283" s="473"/>
      <c r="G283" s="274"/>
    </row>
    <row r="284" spans="3:7" x14ac:dyDescent="0.25">
      <c r="C284" s="478"/>
      <c r="D284" s="478"/>
      <c r="E284" s="473"/>
      <c r="F284" s="473"/>
      <c r="G284" s="274"/>
    </row>
    <row r="285" spans="3:7" x14ac:dyDescent="0.25">
      <c r="C285" s="478"/>
      <c r="D285" s="478"/>
      <c r="E285" s="473"/>
      <c r="F285" s="473"/>
      <c r="G285" s="274"/>
    </row>
    <row r="286" spans="3:7" x14ac:dyDescent="0.25">
      <c r="C286" s="478"/>
      <c r="D286" s="478"/>
      <c r="E286" s="473"/>
      <c r="F286" s="473"/>
      <c r="G286" s="274"/>
    </row>
    <row r="287" spans="3:7" x14ac:dyDescent="0.25">
      <c r="C287" s="478"/>
      <c r="D287" s="478"/>
      <c r="E287" s="473"/>
      <c r="F287" s="473"/>
      <c r="G287" s="274"/>
    </row>
    <row r="288" spans="3:7" x14ac:dyDescent="0.25">
      <c r="C288" s="478"/>
      <c r="D288" s="478"/>
      <c r="E288" s="473"/>
      <c r="F288" s="473"/>
      <c r="G288" s="274"/>
    </row>
    <row r="289" spans="3:7" x14ac:dyDescent="0.25">
      <c r="C289" s="478"/>
      <c r="D289" s="478"/>
      <c r="E289" s="473"/>
      <c r="F289" s="473"/>
      <c r="G289" s="274"/>
    </row>
    <row r="290" spans="3:7" x14ac:dyDescent="0.25">
      <c r="C290" s="478"/>
      <c r="D290" s="478"/>
      <c r="E290" s="473"/>
      <c r="F290" s="473"/>
      <c r="G290" s="274"/>
    </row>
    <row r="291" spans="3:7" x14ac:dyDescent="0.25">
      <c r="C291" s="478"/>
      <c r="D291" s="478"/>
      <c r="E291" s="473"/>
      <c r="F291" s="473"/>
      <c r="G291" s="274"/>
    </row>
    <row r="292" spans="3:7" x14ac:dyDescent="0.25">
      <c r="C292" s="478"/>
      <c r="D292" s="478"/>
      <c r="E292" s="473"/>
      <c r="F292" s="473"/>
      <c r="G292" s="274"/>
    </row>
    <row r="293" spans="3:7" x14ac:dyDescent="0.25">
      <c r="C293" s="478"/>
      <c r="D293" s="478"/>
      <c r="E293" s="473"/>
      <c r="F293" s="473"/>
      <c r="G293" s="274"/>
    </row>
    <row r="294" spans="3:7" x14ac:dyDescent="0.25">
      <c r="C294" s="478"/>
      <c r="D294" s="478"/>
      <c r="E294" s="473"/>
      <c r="F294" s="473"/>
      <c r="G294" s="274"/>
    </row>
    <row r="295" spans="3:7" x14ac:dyDescent="0.25">
      <c r="C295" s="478"/>
      <c r="D295" s="478"/>
      <c r="E295" s="473"/>
      <c r="F295" s="473"/>
      <c r="G295" s="274"/>
    </row>
    <row r="296" spans="3:7" x14ac:dyDescent="0.25">
      <c r="C296" s="478"/>
      <c r="D296" s="478"/>
      <c r="E296" s="473"/>
      <c r="F296" s="473"/>
      <c r="G296" s="274"/>
    </row>
    <row r="297" spans="3:7" x14ac:dyDescent="0.25">
      <c r="C297" s="478"/>
      <c r="D297" s="478"/>
      <c r="E297" s="473"/>
      <c r="F297" s="473"/>
      <c r="G297" s="274"/>
    </row>
    <row r="298" spans="3:7" x14ac:dyDescent="0.25">
      <c r="C298" s="478"/>
      <c r="D298" s="478"/>
      <c r="E298" s="473"/>
      <c r="F298" s="473"/>
      <c r="G298" s="274"/>
    </row>
    <row r="299" spans="3:7" x14ac:dyDescent="0.25">
      <c r="C299" s="478"/>
      <c r="D299" s="478"/>
      <c r="E299" s="473"/>
      <c r="F299" s="473"/>
      <c r="G299" s="274"/>
    </row>
    <row r="300" spans="3:7" x14ac:dyDescent="0.25">
      <c r="C300" s="478"/>
      <c r="D300" s="478"/>
      <c r="E300" s="473"/>
      <c r="F300" s="473"/>
      <c r="G300" s="274"/>
    </row>
    <row r="301" spans="3:7" x14ac:dyDescent="0.25">
      <c r="C301" s="478"/>
      <c r="D301" s="478"/>
      <c r="E301" s="473"/>
      <c r="F301" s="473"/>
      <c r="G301" s="274"/>
    </row>
    <row r="302" spans="3:7" x14ac:dyDescent="0.25">
      <c r="C302" s="478"/>
      <c r="D302" s="478"/>
      <c r="E302" s="473"/>
      <c r="F302" s="473"/>
      <c r="G302" s="274"/>
    </row>
    <row r="303" spans="3:7" x14ac:dyDescent="0.25">
      <c r="C303" s="478"/>
      <c r="D303" s="478"/>
      <c r="E303" s="473"/>
      <c r="F303" s="473"/>
      <c r="G303" s="274"/>
    </row>
    <row r="304" spans="3:7" x14ac:dyDescent="0.25">
      <c r="C304" s="478"/>
      <c r="D304" s="478"/>
      <c r="E304" s="473"/>
      <c r="F304" s="473"/>
      <c r="G304" s="274"/>
    </row>
    <row r="305" spans="3:45" x14ac:dyDescent="0.25">
      <c r="C305" s="478"/>
      <c r="D305" s="478"/>
      <c r="E305" s="473"/>
      <c r="F305" s="473"/>
      <c r="G305" s="274"/>
    </row>
    <row r="306" spans="3:45" x14ac:dyDescent="0.25">
      <c r="C306" s="478"/>
      <c r="D306" s="478"/>
      <c r="E306" s="473"/>
      <c r="F306" s="473"/>
      <c r="G306" s="274"/>
    </row>
    <row r="307" spans="3:45" x14ac:dyDescent="0.25">
      <c r="C307" s="478"/>
      <c r="D307" s="478"/>
      <c r="E307" s="473"/>
      <c r="F307" s="473"/>
      <c r="G307" s="274"/>
    </row>
    <row r="308" spans="3:45" s="516" customFormat="1" x14ac:dyDescent="0.25">
      <c r="C308" s="478"/>
      <c r="D308" s="478"/>
      <c r="E308" s="473"/>
      <c r="F308" s="473"/>
      <c r="G308" s="509"/>
      <c r="H308" s="478"/>
      <c r="I308" s="478"/>
      <c r="J308" s="478"/>
      <c r="K308" s="478"/>
      <c r="L308" s="478"/>
      <c r="M308" s="510"/>
      <c r="N308" s="510"/>
      <c r="O308" s="510"/>
      <c r="P308" s="511"/>
      <c r="Q308" s="510"/>
      <c r="R308" s="511"/>
      <c r="S308" s="478"/>
      <c r="T308" s="478"/>
      <c r="U308" s="478"/>
      <c r="V308" s="511"/>
      <c r="W308" s="512"/>
      <c r="X308" s="512"/>
      <c r="Y308" s="513"/>
      <c r="Z308" s="512"/>
      <c r="AA308" s="277"/>
      <c r="AB308" s="277"/>
      <c r="AC308" s="277"/>
      <c r="AD308" s="277"/>
      <c r="AE308" s="277"/>
      <c r="AF308" s="277"/>
      <c r="AG308" s="277"/>
      <c r="AH308" s="277"/>
      <c r="AI308" s="277"/>
      <c r="AJ308" s="277"/>
      <c r="AK308" s="277"/>
      <c r="AL308" s="277"/>
      <c r="AM308" s="277"/>
      <c r="AN308" s="277"/>
      <c r="AO308" s="277"/>
      <c r="AP308" s="514"/>
      <c r="AQ308" s="277"/>
      <c r="AR308" s="514"/>
      <c r="AS308" s="515"/>
    </row>
    <row r="309" spans="3:45" s="516" customFormat="1" x14ac:dyDescent="0.25">
      <c r="C309" s="478"/>
      <c r="D309" s="478"/>
      <c r="E309" s="473"/>
      <c r="F309" s="473"/>
      <c r="G309" s="509"/>
      <c r="H309" s="478"/>
      <c r="I309" s="478"/>
      <c r="J309" s="478"/>
      <c r="K309" s="478"/>
      <c r="L309" s="478"/>
      <c r="M309" s="510"/>
      <c r="N309" s="510"/>
      <c r="O309" s="510"/>
      <c r="P309" s="511"/>
      <c r="Q309" s="510"/>
      <c r="R309" s="511"/>
      <c r="S309" s="478"/>
      <c r="T309" s="478"/>
      <c r="U309" s="478"/>
      <c r="V309" s="511"/>
      <c r="W309" s="512"/>
      <c r="X309" s="512"/>
      <c r="Y309" s="513"/>
      <c r="Z309" s="512"/>
      <c r="AA309" s="277"/>
      <c r="AB309" s="277"/>
      <c r="AC309" s="277"/>
      <c r="AD309" s="277"/>
      <c r="AE309" s="277"/>
      <c r="AF309" s="277"/>
      <c r="AG309" s="277"/>
      <c r="AH309" s="277"/>
      <c r="AI309" s="277"/>
      <c r="AJ309" s="277"/>
      <c r="AK309" s="277"/>
      <c r="AL309" s="277"/>
      <c r="AM309" s="277"/>
      <c r="AN309" s="277"/>
      <c r="AO309" s="277"/>
      <c r="AP309" s="514"/>
      <c r="AQ309" s="277"/>
      <c r="AR309" s="514"/>
      <c r="AS309" s="515"/>
    </row>
    <row r="310" spans="3:45" s="516" customFormat="1" x14ac:dyDescent="0.25">
      <c r="C310" s="478"/>
      <c r="D310" s="478"/>
      <c r="E310" s="473"/>
      <c r="F310" s="473"/>
      <c r="G310" s="509"/>
      <c r="H310" s="478"/>
      <c r="I310" s="478"/>
      <c r="J310" s="478"/>
      <c r="K310" s="478"/>
      <c r="L310" s="478"/>
      <c r="M310" s="510"/>
      <c r="N310" s="510"/>
      <c r="O310" s="510"/>
      <c r="P310" s="511"/>
      <c r="Q310" s="510"/>
      <c r="R310" s="511"/>
      <c r="S310" s="478"/>
      <c r="T310" s="478"/>
      <c r="U310" s="478"/>
      <c r="V310" s="511"/>
      <c r="W310" s="512"/>
      <c r="X310" s="512"/>
      <c r="Y310" s="513"/>
      <c r="Z310" s="512"/>
      <c r="AA310" s="277"/>
      <c r="AB310" s="277"/>
      <c r="AC310" s="277"/>
      <c r="AD310" s="277"/>
      <c r="AE310" s="277"/>
      <c r="AF310" s="277"/>
      <c r="AG310" s="277"/>
      <c r="AH310" s="277"/>
      <c r="AI310" s="277"/>
      <c r="AJ310" s="277"/>
      <c r="AK310" s="277"/>
      <c r="AL310" s="277"/>
      <c r="AM310" s="277"/>
      <c r="AN310" s="277"/>
      <c r="AO310" s="277"/>
      <c r="AP310" s="514"/>
      <c r="AQ310" s="277"/>
      <c r="AR310" s="514"/>
      <c r="AS310" s="515"/>
    </row>
    <row r="311" spans="3:45" s="516" customFormat="1" x14ac:dyDescent="0.25">
      <c r="C311" s="478"/>
      <c r="D311" s="478"/>
      <c r="E311" s="473"/>
      <c r="F311" s="473"/>
      <c r="G311" s="509"/>
      <c r="H311" s="478"/>
      <c r="I311" s="478"/>
      <c r="J311" s="478"/>
      <c r="K311" s="478"/>
      <c r="L311" s="478"/>
      <c r="M311" s="510"/>
      <c r="N311" s="510"/>
      <c r="O311" s="510"/>
      <c r="P311" s="511"/>
      <c r="Q311" s="510"/>
      <c r="R311" s="511"/>
      <c r="S311" s="478"/>
      <c r="T311" s="478"/>
      <c r="U311" s="478"/>
      <c r="V311" s="511"/>
      <c r="W311" s="512"/>
      <c r="X311" s="512"/>
      <c r="Y311" s="513"/>
      <c r="Z311" s="512"/>
      <c r="AA311" s="277"/>
      <c r="AB311" s="277"/>
      <c r="AC311" s="277"/>
      <c r="AD311" s="277"/>
      <c r="AE311" s="277"/>
      <c r="AF311" s="277"/>
      <c r="AG311" s="277"/>
      <c r="AH311" s="277"/>
      <c r="AI311" s="277"/>
      <c r="AJ311" s="277"/>
      <c r="AK311" s="277"/>
      <c r="AL311" s="277"/>
      <c r="AM311" s="277"/>
      <c r="AN311" s="277"/>
      <c r="AO311" s="277"/>
      <c r="AP311" s="514"/>
      <c r="AQ311" s="277"/>
      <c r="AR311" s="514"/>
      <c r="AS311" s="515"/>
    </row>
    <row r="312" spans="3:45" s="516" customFormat="1" x14ac:dyDescent="0.25">
      <c r="C312" s="478"/>
      <c r="D312" s="478"/>
      <c r="E312" s="473"/>
      <c r="F312" s="473"/>
      <c r="G312" s="509"/>
      <c r="H312" s="478"/>
      <c r="I312" s="478"/>
      <c r="J312" s="478"/>
      <c r="K312" s="478"/>
      <c r="L312" s="478"/>
      <c r="M312" s="510"/>
      <c r="N312" s="510"/>
      <c r="O312" s="510"/>
      <c r="P312" s="511"/>
      <c r="Q312" s="510"/>
      <c r="R312" s="511"/>
      <c r="S312" s="478"/>
      <c r="T312" s="478"/>
      <c r="U312" s="478"/>
      <c r="V312" s="511"/>
      <c r="W312" s="512"/>
      <c r="X312" s="512"/>
      <c r="Y312" s="513"/>
      <c r="Z312" s="512"/>
      <c r="AA312" s="277"/>
      <c r="AB312" s="277"/>
      <c r="AC312" s="277"/>
      <c r="AD312" s="277"/>
      <c r="AE312" s="277"/>
      <c r="AF312" s="277"/>
      <c r="AG312" s="277"/>
      <c r="AH312" s="277"/>
      <c r="AI312" s="277"/>
      <c r="AJ312" s="277"/>
      <c r="AK312" s="277"/>
      <c r="AL312" s="277"/>
      <c r="AM312" s="277"/>
      <c r="AN312" s="277"/>
      <c r="AO312" s="277"/>
      <c r="AP312" s="514"/>
      <c r="AQ312" s="277"/>
      <c r="AR312" s="514"/>
      <c r="AS312" s="515"/>
    </row>
    <row r="313" spans="3:45" s="516" customFormat="1" x14ac:dyDescent="0.25">
      <c r="C313" s="478"/>
      <c r="D313" s="478"/>
      <c r="E313" s="473"/>
      <c r="F313" s="473"/>
      <c r="G313" s="509"/>
      <c r="H313" s="478"/>
      <c r="I313" s="478"/>
      <c r="J313" s="478"/>
      <c r="K313" s="478"/>
      <c r="L313" s="478"/>
      <c r="M313" s="510"/>
      <c r="N313" s="510"/>
      <c r="O313" s="510"/>
      <c r="P313" s="511"/>
      <c r="Q313" s="510"/>
      <c r="R313" s="511"/>
      <c r="S313" s="478"/>
      <c r="T313" s="478"/>
      <c r="U313" s="478"/>
      <c r="V313" s="511"/>
      <c r="W313" s="512"/>
      <c r="X313" s="512"/>
      <c r="Y313" s="513"/>
      <c r="Z313" s="512"/>
      <c r="AA313" s="277"/>
      <c r="AB313" s="277"/>
      <c r="AC313" s="277"/>
      <c r="AD313" s="277"/>
      <c r="AE313" s="277"/>
      <c r="AF313" s="277"/>
      <c r="AG313" s="277"/>
      <c r="AH313" s="277"/>
      <c r="AI313" s="277"/>
      <c r="AJ313" s="277"/>
      <c r="AK313" s="277"/>
      <c r="AL313" s="277"/>
      <c r="AM313" s="277"/>
      <c r="AN313" s="277"/>
      <c r="AO313" s="277"/>
      <c r="AP313" s="514"/>
      <c r="AQ313" s="277"/>
      <c r="AR313" s="514"/>
      <c r="AS313" s="515"/>
    </row>
    <row r="314" spans="3:45" s="516" customFormat="1" x14ac:dyDescent="0.25">
      <c r="C314" s="478"/>
      <c r="D314" s="478"/>
      <c r="E314" s="473"/>
      <c r="F314" s="473"/>
      <c r="G314" s="509"/>
      <c r="H314" s="478"/>
      <c r="I314" s="478"/>
      <c r="J314" s="478"/>
      <c r="K314" s="478"/>
      <c r="L314" s="478"/>
      <c r="M314" s="510"/>
      <c r="N314" s="510"/>
      <c r="O314" s="510"/>
      <c r="P314" s="511"/>
      <c r="Q314" s="510"/>
      <c r="R314" s="511"/>
      <c r="S314" s="478"/>
      <c r="T314" s="478"/>
      <c r="U314" s="478"/>
      <c r="V314" s="511"/>
      <c r="W314" s="512"/>
      <c r="X314" s="512"/>
      <c r="Y314" s="513"/>
      <c r="Z314" s="512"/>
      <c r="AA314" s="277"/>
      <c r="AB314" s="277"/>
      <c r="AC314" s="277"/>
      <c r="AD314" s="277"/>
      <c r="AE314" s="277"/>
      <c r="AF314" s="277"/>
      <c r="AG314" s="277"/>
      <c r="AH314" s="277"/>
      <c r="AI314" s="277"/>
      <c r="AJ314" s="277"/>
      <c r="AK314" s="277"/>
      <c r="AL314" s="277"/>
      <c r="AM314" s="277"/>
      <c r="AN314" s="277"/>
      <c r="AO314" s="277"/>
      <c r="AP314" s="514"/>
      <c r="AQ314" s="277"/>
      <c r="AR314" s="514"/>
      <c r="AS314" s="515"/>
    </row>
    <row r="315" spans="3:45" s="516" customFormat="1" x14ac:dyDescent="0.25">
      <c r="C315" s="478"/>
      <c r="D315" s="478"/>
      <c r="E315" s="473"/>
      <c r="F315" s="473"/>
      <c r="G315" s="509"/>
      <c r="H315" s="478"/>
      <c r="I315" s="478"/>
      <c r="J315" s="478"/>
      <c r="K315" s="478"/>
      <c r="L315" s="478"/>
      <c r="M315" s="510"/>
      <c r="N315" s="510"/>
      <c r="O315" s="510"/>
      <c r="P315" s="511"/>
      <c r="Q315" s="510"/>
      <c r="R315" s="511"/>
      <c r="S315" s="478"/>
      <c r="T315" s="478"/>
      <c r="U315" s="478"/>
      <c r="V315" s="511"/>
      <c r="W315" s="512"/>
      <c r="X315" s="512"/>
      <c r="Y315" s="513"/>
      <c r="Z315" s="512"/>
      <c r="AA315" s="277"/>
      <c r="AB315" s="277"/>
      <c r="AC315" s="277"/>
      <c r="AD315" s="277"/>
      <c r="AE315" s="277"/>
      <c r="AF315" s="277"/>
      <c r="AG315" s="277"/>
      <c r="AH315" s="277"/>
      <c r="AI315" s="277"/>
      <c r="AJ315" s="277"/>
      <c r="AK315" s="277"/>
      <c r="AL315" s="277"/>
      <c r="AM315" s="277"/>
      <c r="AN315" s="277"/>
      <c r="AO315" s="277"/>
      <c r="AP315" s="514"/>
      <c r="AQ315" s="277"/>
      <c r="AR315" s="514"/>
      <c r="AS315" s="515"/>
    </row>
    <row r="316" spans="3:45" s="516" customFormat="1" x14ac:dyDescent="0.25">
      <c r="C316" s="478"/>
      <c r="D316" s="478"/>
      <c r="E316" s="473"/>
      <c r="F316" s="473"/>
      <c r="G316" s="509"/>
      <c r="H316" s="478"/>
      <c r="I316" s="478"/>
      <c r="J316" s="478"/>
      <c r="K316" s="478"/>
      <c r="L316" s="478"/>
      <c r="M316" s="510"/>
      <c r="N316" s="510"/>
      <c r="O316" s="510"/>
      <c r="P316" s="511"/>
      <c r="Q316" s="510"/>
      <c r="R316" s="511"/>
      <c r="S316" s="478"/>
      <c r="T316" s="478"/>
      <c r="U316" s="478"/>
      <c r="V316" s="511"/>
      <c r="W316" s="512"/>
      <c r="X316" s="512"/>
      <c r="Y316" s="513"/>
      <c r="Z316" s="512"/>
      <c r="AA316" s="277"/>
      <c r="AB316" s="277"/>
      <c r="AC316" s="277"/>
      <c r="AD316" s="277"/>
      <c r="AE316" s="277"/>
      <c r="AF316" s="277"/>
      <c r="AG316" s="277"/>
      <c r="AH316" s="277"/>
      <c r="AI316" s="277"/>
      <c r="AJ316" s="277"/>
      <c r="AK316" s="277"/>
      <c r="AL316" s="277"/>
      <c r="AM316" s="277"/>
      <c r="AN316" s="277"/>
      <c r="AO316" s="277"/>
      <c r="AP316" s="514"/>
      <c r="AQ316" s="277"/>
      <c r="AR316" s="514"/>
      <c r="AS316" s="515"/>
    </row>
    <row r="317" spans="3:45" s="516" customFormat="1" x14ac:dyDescent="0.25">
      <c r="C317" s="478"/>
      <c r="D317" s="478"/>
      <c r="E317" s="473"/>
      <c r="F317" s="473"/>
      <c r="G317" s="509"/>
      <c r="H317" s="478"/>
      <c r="I317" s="478"/>
      <c r="J317" s="478"/>
      <c r="K317" s="478"/>
      <c r="L317" s="478"/>
      <c r="M317" s="510"/>
      <c r="N317" s="510"/>
      <c r="O317" s="510"/>
      <c r="P317" s="511"/>
      <c r="Q317" s="510"/>
      <c r="R317" s="511"/>
      <c r="S317" s="478"/>
      <c r="T317" s="478"/>
      <c r="U317" s="478"/>
      <c r="V317" s="511"/>
      <c r="W317" s="512"/>
      <c r="X317" s="512"/>
      <c r="Y317" s="513"/>
      <c r="Z317" s="512"/>
      <c r="AA317" s="277"/>
      <c r="AB317" s="277"/>
      <c r="AC317" s="277"/>
      <c r="AD317" s="277"/>
      <c r="AE317" s="277"/>
      <c r="AF317" s="277"/>
      <c r="AG317" s="277"/>
      <c r="AH317" s="277"/>
      <c r="AI317" s="277"/>
      <c r="AJ317" s="277"/>
      <c r="AK317" s="277"/>
      <c r="AL317" s="277"/>
      <c r="AM317" s="277"/>
      <c r="AN317" s="277"/>
      <c r="AO317" s="277"/>
      <c r="AP317" s="514"/>
      <c r="AQ317" s="277"/>
      <c r="AR317" s="514"/>
      <c r="AS317" s="515"/>
    </row>
    <row r="318" spans="3:45" s="516" customFormat="1" x14ac:dyDescent="0.25">
      <c r="C318" s="478"/>
      <c r="D318" s="478"/>
      <c r="E318" s="473"/>
      <c r="F318" s="473"/>
      <c r="G318" s="509"/>
      <c r="H318" s="478"/>
      <c r="I318" s="478"/>
      <c r="J318" s="478"/>
      <c r="K318" s="478"/>
      <c r="L318" s="478"/>
      <c r="M318" s="510"/>
      <c r="N318" s="510"/>
      <c r="O318" s="510"/>
      <c r="P318" s="511"/>
      <c r="Q318" s="510"/>
      <c r="R318" s="511"/>
      <c r="S318" s="478"/>
      <c r="T318" s="478"/>
      <c r="U318" s="478"/>
      <c r="V318" s="511"/>
      <c r="W318" s="512"/>
      <c r="X318" s="512"/>
      <c r="Y318" s="513"/>
      <c r="Z318" s="512"/>
      <c r="AA318" s="277"/>
      <c r="AB318" s="277"/>
      <c r="AC318" s="277"/>
      <c r="AD318" s="277"/>
      <c r="AE318" s="277"/>
      <c r="AF318" s="277"/>
      <c r="AG318" s="277"/>
      <c r="AH318" s="277"/>
      <c r="AI318" s="277"/>
      <c r="AJ318" s="277"/>
      <c r="AK318" s="277"/>
      <c r="AL318" s="277"/>
      <c r="AM318" s="277"/>
      <c r="AN318" s="277"/>
      <c r="AO318" s="277"/>
      <c r="AP318" s="514"/>
      <c r="AQ318" s="277"/>
      <c r="AR318" s="514"/>
      <c r="AS318" s="515"/>
    </row>
    <row r="319" spans="3:45" s="516" customFormat="1" x14ac:dyDescent="0.25">
      <c r="C319" s="478"/>
      <c r="D319" s="478"/>
      <c r="E319" s="473"/>
      <c r="F319" s="473"/>
      <c r="G319" s="509"/>
      <c r="H319" s="478"/>
      <c r="I319" s="478"/>
      <c r="J319" s="478"/>
      <c r="K319" s="478"/>
      <c r="L319" s="478"/>
      <c r="M319" s="510"/>
      <c r="N319" s="510"/>
      <c r="O319" s="510"/>
      <c r="P319" s="511"/>
      <c r="Q319" s="510"/>
      <c r="R319" s="511"/>
      <c r="S319" s="478"/>
      <c r="T319" s="478"/>
      <c r="U319" s="478"/>
      <c r="V319" s="511"/>
      <c r="W319" s="512"/>
      <c r="X319" s="512"/>
      <c r="Y319" s="513"/>
      <c r="Z319" s="512"/>
      <c r="AA319" s="277"/>
      <c r="AB319" s="277"/>
      <c r="AC319" s="277"/>
      <c r="AD319" s="277"/>
      <c r="AE319" s="277"/>
      <c r="AF319" s="277"/>
      <c r="AG319" s="277"/>
      <c r="AH319" s="277"/>
      <c r="AI319" s="277"/>
      <c r="AJ319" s="277"/>
      <c r="AK319" s="277"/>
      <c r="AL319" s="277"/>
      <c r="AM319" s="277"/>
      <c r="AN319" s="277"/>
      <c r="AO319" s="277"/>
      <c r="AP319" s="514"/>
      <c r="AQ319" s="277"/>
      <c r="AR319" s="514"/>
      <c r="AS319" s="515"/>
    </row>
    <row r="320" spans="3:45" s="516" customFormat="1" x14ac:dyDescent="0.25">
      <c r="C320" s="478"/>
      <c r="D320" s="478"/>
      <c r="E320" s="473"/>
      <c r="F320" s="473"/>
      <c r="G320" s="509"/>
      <c r="H320" s="478"/>
      <c r="I320" s="478"/>
      <c r="J320" s="478"/>
      <c r="K320" s="478"/>
      <c r="L320" s="478"/>
      <c r="M320" s="510"/>
      <c r="N320" s="510"/>
      <c r="O320" s="510"/>
      <c r="P320" s="511"/>
      <c r="Q320" s="510"/>
      <c r="R320" s="511"/>
      <c r="S320" s="478"/>
      <c r="T320" s="478"/>
      <c r="U320" s="478"/>
      <c r="V320" s="511"/>
      <c r="W320" s="512"/>
      <c r="X320" s="512"/>
      <c r="Y320" s="513"/>
      <c r="Z320" s="512"/>
      <c r="AA320" s="277"/>
      <c r="AB320" s="277"/>
      <c r="AC320" s="277"/>
      <c r="AD320" s="277"/>
      <c r="AE320" s="277"/>
      <c r="AF320" s="277"/>
      <c r="AG320" s="277"/>
      <c r="AH320" s="277"/>
      <c r="AI320" s="277"/>
      <c r="AJ320" s="277"/>
      <c r="AK320" s="277"/>
      <c r="AL320" s="277"/>
      <c r="AM320" s="277"/>
      <c r="AN320" s="277"/>
      <c r="AO320" s="277"/>
      <c r="AP320" s="514"/>
      <c r="AQ320" s="277"/>
      <c r="AR320" s="514"/>
      <c r="AS320" s="515"/>
    </row>
    <row r="321" spans="3:45" s="516" customFormat="1" x14ac:dyDescent="0.25">
      <c r="C321" s="478"/>
      <c r="D321" s="478"/>
      <c r="E321" s="473"/>
      <c r="F321" s="473"/>
      <c r="G321" s="509"/>
      <c r="H321" s="478"/>
      <c r="I321" s="478"/>
      <c r="J321" s="478"/>
      <c r="K321" s="478"/>
      <c r="L321" s="478"/>
      <c r="M321" s="510"/>
      <c r="N321" s="510"/>
      <c r="O321" s="510"/>
      <c r="P321" s="511"/>
      <c r="Q321" s="510"/>
      <c r="R321" s="511"/>
      <c r="S321" s="478"/>
      <c r="T321" s="478"/>
      <c r="U321" s="478"/>
      <c r="V321" s="511"/>
      <c r="W321" s="512"/>
      <c r="X321" s="512"/>
      <c r="Y321" s="513"/>
      <c r="Z321" s="512"/>
      <c r="AA321" s="277"/>
      <c r="AB321" s="277"/>
      <c r="AC321" s="277"/>
      <c r="AD321" s="277"/>
      <c r="AE321" s="277"/>
      <c r="AF321" s="277"/>
      <c r="AG321" s="277"/>
      <c r="AH321" s="277"/>
      <c r="AI321" s="277"/>
      <c r="AJ321" s="277"/>
      <c r="AK321" s="277"/>
      <c r="AL321" s="277"/>
      <c r="AM321" s="277"/>
      <c r="AN321" s="277"/>
      <c r="AO321" s="277"/>
      <c r="AP321" s="514"/>
      <c r="AQ321" s="277"/>
      <c r="AR321" s="514"/>
      <c r="AS321" s="515"/>
    </row>
    <row r="322" spans="3:45" s="516" customFormat="1" x14ac:dyDescent="0.25">
      <c r="C322" s="478"/>
      <c r="D322" s="478"/>
      <c r="E322" s="473"/>
      <c r="F322" s="473"/>
      <c r="G322" s="509"/>
      <c r="H322" s="478"/>
      <c r="I322" s="478"/>
      <c r="J322" s="478"/>
      <c r="K322" s="478"/>
      <c r="L322" s="478"/>
      <c r="M322" s="510"/>
      <c r="N322" s="510"/>
      <c r="O322" s="510"/>
      <c r="P322" s="511"/>
      <c r="Q322" s="510"/>
      <c r="R322" s="511"/>
      <c r="S322" s="478"/>
      <c r="T322" s="478"/>
      <c r="U322" s="478"/>
      <c r="V322" s="511"/>
      <c r="W322" s="512"/>
      <c r="X322" s="512"/>
      <c r="Y322" s="513"/>
      <c r="Z322" s="512"/>
      <c r="AA322" s="277"/>
      <c r="AB322" s="277"/>
      <c r="AC322" s="277"/>
      <c r="AD322" s="277"/>
      <c r="AE322" s="277"/>
      <c r="AF322" s="277"/>
      <c r="AG322" s="277"/>
      <c r="AH322" s="277"/>
      <c r="AI322" s="277"/>
      <c r="AJ322" s="277"/>
      <c r="AK322" s="277"/>
      <c r="AL322" s="277"/>
      <c r="AM322" s="277"/>
      <c r="AN322" s="277"/>
      <c r="AO322" s="277"/>
      <c r="AP322" s="514"/>
      <c r="AQ322" s="277"/>
      <c r="AR322" s="514"/>
      <c r="AS322" s="515"/>
    </row>
    <row r="323" spans="3:45" s="516" customFormat="1" x14ac:dyDescent="0.25">
      <c r="C323" s="478"/>
      <c r="D323" s="478"/>
      <c r="E323" s="473"/>
      <c r="F323" s="473"/>
      <c r="G323" s="509"/>
      <c r="H323" s="478"/>
      <c r="I323" s="478"/>
      <c r="J323" s="478"/>
      <c r="K323" s="478"/>
      <c r="L323" s="478"/>
      <c r="M323" s="510"/>
      <c r="N323" s="510"/>
      <c r="O323" s="510"/>
      <c r="P323" s="511"/>
      <c r="Q323" s="510"/>
      <c r="R323" s="511"/>
      <c r="S323" s="478"/>
      <c r="T323" s="478"/>
      <c r="U323" s="478"/>
      <c r="V323" s="511"/>
      <c r="W323" s="512"/>
      <c r="X323" s="512"/>
      <c r="Y323" s="513"/>
      <c r="Z323" s="512"/>
      <c r="AA323" s="277"/>
      <c r="AB323" s="277"/>
      <c r="AC323" s="277"/>
      <c r="AD323" s="277"/>
      <c r="AE323" s="277"/>
      <c r="AF323" s="277"/>
      <c r="AG323" s="277"/>
      <c r="AH323" s="277"/>
      <c r="AI323" s="277"/>
      <c r="AJ323" s="277"/>
      <c r="AK323" s="277"/>
      <c r="AL323" s="277"/>
      <c r="AM323" s="277"/>
      <c r="AN323" s="277"/>
      <c r="AO323" s="277"/>
      <c r="AP323" s="514"/>
      <c r="AQ323" s="277"/>
      <c r="AR323" s="514"/>
      <c r="AS323" s="515"/>
    </row>
    <row r="324" spans="3:45" s="516" customFormat="1" x14ac:dyDescent="0.25">
      <c r="C324" s="478"/>
      <c r="D324" s="478"/>
      <c r="E324" s="473"/>
      <c r="F324" s="473"/>
      <c r="G324" s="509"/>
      <c r="H324" s="478"/>
      <c r="I324" s="478"/>
      <c r="J324" s="478"/>
      <c r="K324" s="478"/>
      <c r="L324" s="478"/>
      <c r="M324" s="510"/>
      <c r="N324" s="510"/>
      <c r="O324" s="510"/>
      <c r="P324" s="511"/>
      <c r="Q324" s="510"/>
      <c r="R324" s="511"/>
      <c r="S324" s="478"/>
      <c r="T324" s="478"/>
      <c r="U324" s="478"/>
      <c r="V324" s="511"/>
      <c r="W324" s="512"/>
      <c r="X324" s="512"/>
      <c r="Y324" s="513"/>
      <c r="Z324" s="512"/>
      <c r="AA324" s="277"/>
      <c r="AB324" s="277"/>
      <c r="AC324" s="277"/>
      <c r="AD324" s="277"/>
      <c r="AE324" s="277"/>
      <c r="AF324" s="277"/>
      <c r="AG324" s="277"/>
      <c r="AH324" s="277"/>
      <c r="AI324" s="277"/>
      <c r="AJ324" s="277"/>
      <c r="AK324" s="277"/>
      <c r="AL324" s="277"/>
      <c r="AM324" s="277"/>
      <c r="AN324" s="277"/>
      <c r="AO324" s="277"/>
      <c r="AP324" s="514"/>
      <c r="AQ324" s="277"/>
      <c r="AR324" s="514"/>
      <c r="AS324" s="515"/>
    </row>
    <row r="325" spans="3:45" s="516" customFormat="1" x14ac:dyDescent="0.25">
      <c r="C325" s="478"/>
      <c r="D325" s="478"/>
      <c r="E325" s="473"/>
      <c r="F325" s="473"/>
      <c r="G325" s="509"/>
      <c r="H325" s="478"/>
      <c r="I325" s="478"/>
      <c r="J325" s="478"/>
      <c r="K325" s="478"/>
      <c r="L325" s="478"/>
      <c r="M325" s="510"/>
      <c r="N325" s="510"/>
      <c r="O325" s="510"/>
      <c r="P325" s="511"/>
      <c r="Q325" s="510"/>
      <c r="R325" s="511"/>
      <c r="S325" s="478"/>
      <c r="T325" s="478"/>
      <c r="U325" s="478"/>
      <c r="V325" s="511"/>
      <c r="W325" s="512"/>
      <c r="X325" s="512"/>
      <c r="Y325" s="513"/>
      <c r="Z325" s="512"/>
      <c r="AA325" s="277"/>
      <c r="AB325" s="277"/>
      <c r="AC325" s="277"/>
      <c r="AD325" s="277"/>
      <c r="AE325" s="277"/>
      <c r="AF325" s="277"/>
      <c r="AG325" s="277"/>
      <c r="AH325" s="277"/>
      <c r="AI325" s="277"/>
      <c r="AJ325" s="277"/>
      <c r="AK325" s="277"/>
      <c r="AL325" s="277"/>
      <c r="AM325" s="277"/>
      <c r="AN325" s="277"/>
      <c r="AO325" s="277"/>
      <c r="AP325" s="514"/>
      <c r="AQ325" s="277"/>
      <c r="AR325" s="514"/>
      <c r="AS325" s="515"/>
    </row>
    <row r="326" spans="3:45" s="516" customFormat="1" x14ac:dyDescent="0.25">
      <c r="C326" s="478"/>
      <c r="D326" s="478"/>
      <c r="E326" s="473"/>
      <c r="F326" s="473"/>
      <c r="G326" s="509"/>
      <c r="H326" s="478"/>
      <c r="I326" s="478"/>
      <c r="J326" s="478"/>
      <c r="K326" s="478"/>
      <c r="L326" s="478"/>
      <c r="M326" s="510"/>
      <c r="N326" s="510"/>
      <c r="O326" s="510"/>
      <c r="P326" s="511"/>
      <c r="Q326" s="510"/>
      <c r="R326" s="511"/>
      <c r="S326" s="478"/>
      <c r="T326" s="478"/>
      <c r="U326" s="478"/>
      <c r="V326" s="511"/>
      <c r="W326" s="512"/>
      <c r="X326" s="512"/>
      <c r="Y326" s="513"/>
      <c r="Z326" s="512"/>
      <c r="AA326" s="277"/>
      <c r="AB326" s="277"/>
      <c r="AC326" s="277"/>
      <c r="AD326" s="277"/>
      <c r="AE326" s="277"/>
      <c r="AF326" s="277"/>
      <c r="AG326" s="277"/>
      <c r="AH326" s="277"/>
      <c r="AI326" s="277"/>
      <c r="AJ326" s="277"/>
      <c r="AK326" s="277"/>
      <c r="AL326" s="277"/>
      <c r="AM326" s="277"/>
      <c r="AN326" s="277"/>
      <c r="AO326" s="277"/>
      <c r="AP326" s="514"/>
      <c r="AQ326" s="277"/>
      <c r="AR326" s="514"/>
      <c r="AS326" s="515"/>
    </row>
    <row r="327" spans="3:45" s="516" customFormat="1" x14ac:dyDescent="0.25">
      <c r="C327" s="478"/>
      <c r="D327" s="478"/>
      <c r="E327" s="473"/>
      <c r="F327" s="473"/>
      <c r="G327" s="509"/>
      <c r="H327" s="478"/>
      <c r="I327" s="478"/>
      <c r="J327" s="478"/>
      <c r="K327" s="478"/>
      <c r="L327" s="478"/>
      <c r="M327" s="510"/>
      <c r="N327" s="510"/>
      <c r="O327" s="510"/>
      <c r="P327" s="511"/>
      <c r="Q327" s="510"/>
      <c r="R327" s="511"/>
      <c r="S327" s="478"/>
      <c r="T327" s="478"/>
      <c r="U327" s="478"/>
      <c r="V327" s="511"/>
      <c r="W327" s="512"/>
      <c r="X327" s="512"/>
      <c r="Y327" s="513"/>
      <c r="Z327" s="512"/>
      <c r="AA327" s="277"/>
      <c r="AB327" s="277"/>
      <c r="AC327" s="277"/>
      <c r="AD327" s="277"/>
      <c r="AE327" s="277"/>
      <c r="AF327" s="277"/>
      <c r="AG327" s="277"/>
      <c r="AH327" s="277"/>
      <c r="AI327" s="277"/>
      <c r="AJ327" s="277"/>
      <c r="AK327" s="277"/>
      <c r="AL327" s="277"/>
      <c r="AM327" s="277"/>
      <c r="AN327" s="277"/>
      <c r="AO327" s="277"/>
      <c r="AP327" s="514"/>
      <c r="AQ327" s="277"/>
      <c r="AR327" s="514"/>
      <c r="AS327" s="515"/>
    </row>
    <row r="328" spans="3:45" s="516" customFormat="1" x14ac:dyDescent="0.25">
      <c r="C328" s="478"/>
      <c r="D328" s="478"/>
      <c r="E328" s="473"/>
      <c r="F328" s="473"/>
      <c r="G328" s="509"/>
      <c r="H328" s="478"/>
      <c r="I328" s="478"/>
      <c r="J328" s="478"/>
      <c r="K328" s="478"/>
      <c r="L328" s="478"/>
      <c r="M328" s="510"/>
      <c r="N328" s="510"/>
      <c r="O328" s="510"/>
      <c r="P328" s="511"/>
      <c r="Q328" s="510"/>
      <c r="R328" s="511"/>
      <c r="S328" s="478"/>
      <c r="T328" s="478"/>
      <c r="U328" s="478"/>
      <c r="V328" s="511"/>
      <c r="W328" s="512"/>
      <c r="X328" s="512"/>
      <c r="Y328" s="513"/>
      <c r="Z328" s="512"/>
      <c r="AA328" s="277"/>
      <c r="AB328" s="277"/>
      <c r="AC328" s="277"/>
      <c r="AD328" s="277"/>
      <c r="AE328" s="277"/>
      <c r="AF328" s="277"/>
      <c r="AG328" s="277"/>
      <c r="AH328" s="277"/>
      <c r="AI328" s="277"/>
      <c r="AJ328" s="277"/>
      <c r="AK328" s="277"/>
      <c r="AL328" s="277"/>
      <c r="AM328" s="277"/>
      <c r="AN328" s="277"/>
      <c r="AO328" s="277"/>
      <c r="AP328" s="514"/>
      <c r="AQ328" s="277"/>
      <c r="AR328" s="514"/>
      <c r="AS328" s="515"/>
    </row>
    <row r="329" spans="3:45" s="516" customFormat="1" x14ac:dyDescent="0.25">
      <c r="C329" s="478"/>
      <c r="D329" s="478"/>
      <c r="E329" s="473"/>
      <c r="F329" s="473"/>
      <c r="G329" s="509"/>
      <c r="H329" s="478"/>
      <c r="I329" s="478"/>
      <c r="J329" s="478"/>
      <c r="K329" s="478"/>
      <c r="L329" s="478"/>
      <c r="M329" s="510"/>
      <c r="N329" s="510"/>
      <c r="O329" s="510"/>
      <c r="P329" s="511"/>
      <c r="Q329" s="510"/>
      <c r="R329" s="511"/>
      <c r="S329" s="478"/>
      <c r="T329" s="478"/>
      <c r="U329" s="478"/>
      <c r="V329" s="511"/>
      <c r="W329" s="512"/>
      <c r="X329" s="512"/>
      <c r="Y329" s="513"/>
      <c r="Z329" s="512"/>
      <c r="AA329" s="277"/>
      <c r="AB329" s="277"/>
      <c r="AC329" s="277"/>
      <c r="AD329" s="277"/>
      <c r="AE329" s="277"/>
      <c r="AF329" s="277"/>
      <c r="AG329" s="277"/>
      <c r="AH329" s="277"/>
      <c r="AI329" s="277"/>
      <c r="AJ329" s="277"/>
      <c r="AK329" s="277"/>
      <c r="AL329" s="277"/>
      <c r="AM329" s="277"/>
      <c r="AN329" s="277"/>
      <c r="AO329" s="277"/>
      <c r="AP329" s="514"/>
      <c r="AQ329" s="277"/>
      <c r="AR329" s="514"/>
      <c r="AS329" s="515"/>
    </row>
    <row r="330" spans="3:45" s="516" customFormat="1" x14ac:dyDescent="0.25">
      <c r="C330" s="478"/>
      <c r="D330" s="478"/>
      <c r="E330" s="473"/>
      <c r="F330" s="473"/>
      <c r="G330" s="509"/>
      <c r="H330" s="478"/>
      <c r="I330" s="478"/>
      <c r="J330" s="478"/>
      <c r="K330" s="478"/>
      <c r="L330" s="478"/>
      <c r="M330" s="510"/>
      <c r="N330" s="510"/>
      <c r="O330" s="510"/>
      <c r="P330" s="511"/>
      <c r="Q330" s="510"/>
      <c r="R330" s="511"/>
      <c r="S330" s="478"/>
      <c r="T330" s="478"/>
      <c r="U330" s="478"/>
      <c r="V330" s="511"/>
      <c r="W330" s="512"/>
      <c r="X330" s="512"/>
      <c r="Y330" s="513"/>
      <c r="Z330" s="512"/>
      <c r="AA330" s="277"/>
      <c r="AB330" s="277"/>
      <c r="AC330" s="277"/>
      <c r="AD330" s="277"/>
      <c r="AE330" s="277"/>
      <c r="AF330" s="277"/>
      <c r="AG330" s="277"/>
      <c r="AH330" s="277"/>
      <c r="AI330" s="277"/>
      <c r="AJ330" s="277"/>
      <c r="AK330" s="277"/>
      <c r="AL330" s="277"/>
      <c r="AM330" s="277"/>
      <c r="AN330" s="277"/>
      <c r="AO330" s="277"/>
      <c r="AP330" s="514"/>
      <c r="AQ330" s="277"/>
      <c r="AR330" s="514"/>
      <c r="AS330" s="515"/>
    </row>
    <row r="331" spans="3:45" s="516" customFormat="1" x14ac:dyDescent="0.25">
      <c r="C331" s="478"/>
      <c r="D331" s="478"/>
      <c r="E331" s="473"/>
      <c r="F331" s="473"/>
      <c r="G331" s="509"/>
      <c r="H331" s="478"/>
      <c r="I331" s="478"/>
      <c r="J331" s="478"/>
      <c r="K331" s="478"/>
      <c r="L331" s="478"/>
      <c r="M331" s="510"/>
      <c r="N331" s="510"/>
      <c r="O331" s="510"/>
      <c r="P331" s="511"/>
      <c r="Q331" s="510"/>
      <c r="R331" s="511"/>
      <c r="S331" s="478"/>
      <c r="T331" s="478"/>
      <c r="U331" s="478"/>
      <c r="V331" s="511"/>
      <c r="W331" s="512"/>
      <c r="X331" s="512"/>
      <c r="Y331" s="513"/>
      <c r="Z331" s="512"/>
      <c r="AA331" s="277"/>
      <c r="AB331" s="277"/>
      <c r="AC331" s="277"/>
      <c r="AD331" s="277"/>
      <c r="AE331" s="277"/>
      <c r="AF331" s="277"/>
      <c r="AG331" s="277"/>
      <c r="AH331" s="277"/>
      <c r="AI331" s="277"/>
      <c r="AJ331" s="277"/>
      <c r="AK331" s="277"/>
      <c r="AL331" s="277"/>
      <c r="AM331" s="277"/>
      <c r="AN331" s="277"/>
      <c r="AO331" s="277"/>
      <c r="AP331" s="514"/>
      <c r="AQ331" s="277"/>
      <c r="AR331" s="514"/>
      <c r="AS331" s="515"/>
    </row>
    <row r="332" spans="3:45" s="516" customFormat="1" x14ac:dyDescent="0.25">
      <c r="C332" s="478"/>
      <c r="D332" s="478"/>
      <c r="E332" s="473"/>
      <c r="F332" s="473"/>
      <c r="G332" s="509"/>
      <c r="H332" s="478"/>
      <c r="I332" s="478"/>
      <c r="J332" s="478"/>
      <c r="K332" s="478"/>
      <c r="L332" s="478"/>
      <c r="M332" s="510"/>
      <c r="N332" s="510"/>
      <c r="O332" s="510"/>
      <c r="P332" s="511"/>
      <c r="Q332" s="510"/>
      <c r="R332" s="511"/>
      <c r="S332" s="478"/>
      <c r="T332" s="478"/>
      <c r="U332" s="478"/>
      <c r="V332" s="511"/>
      <c r="W332" s="512"/>
      <c r="X332" s="512"/>
      <c r="Y332" s="513"/>
      <c r="Z332" s="512"/>
      <c r="AA332" s="277"/>
      <c r="AB332" s="277"/>
      <c r="AC332" s="277"/>
      <c r="AD332" s="277"/>
      <c r="AE332" s="277"/>
      <c r="AF332" s="277"/>
      <c r="AG332" s="277"/>
      <c r="AH332" s="277"/>
      <c r="AI332" s="277"/>
      <c r="AJ332" s="277"/>
      <c r="AK332" s="277"/>
      <c r="AL332" s="277"/>
      <c r="AM332" s="277"/>
      <c r="AN332" s="277"/>
      <c r="AO332" s="277"/>
      <c r="AP332" s="514"/>
      <c r="AQ332" s="277"/>
      <c r="AR332" s="514"/>
      <c r="AS332" s="515"/>
    </row>
    <row r="333" spans="3:45" s="516" customFormat="1" x14ac:dyDescent="0.25">
      <c r="C333" s="478"/>
      <c r="D333" s="478"/>
      <c r="E333" s="473"/>
      <c r="F333" s="473"/>
      <c r="G333" s="509"/>
      <c r="H333" s="478"/>
      <c r="I333" s="478"/>
      <c r="J333" s="478"/>
      <c r="K333" s="478"/>
      <c r="L333" s="478"/>
      <c r="M333" s="510"/>
      <c r="N333" s="510"/>
      <c r="O333" s="510"/>
      <c r="P333" s="511"/>
      <c r="Q333" s="510"/>
      <c r="R333" s="511"/>
      <c r="S333" s="478"/>
      <c r="T333" s="478"/>
      <c r="U333" s="478"/>
      <c r="V333" s="511"/>
      <c r="W333" s="512"/>
      <c r="X333" s="512"/>
      <c r="Y333" s="513"/>
      <c r="Z333" s="512"/>
      <c r="AA333" s="277"/>
      <c r="AB333" s="277"/>
      <c r="AC333" s="277"/>
      <c r="AD333" s="277"/>
      <c r="AE333" s="277"/>
      <c r="AF333" s="277"/>
      <c r="AG333" s="277"/>
      <c r="AH333" s="277"/>
      <c r="AI333" s="277"/>
      <c r="AJ333" s="277"/>
      <c r="AK333" s="277"/>
      <c r="AL333" s="277"/>
      <c r="AM333" s="277"/>
      <c r="AN333" s="277"/>
      <c r="AO333" s="277"/>
      <c r="AP333" s="514"/>
      <c r="AQ333" s="277"/>
      <c r="AR333" s="514"/>
      <c r="AS333" s="515"/>
    </row>
    <row r="334" spans="3:45" s="516" customFormat="1" x14ac:dyDescent="0.25">
      <c r="C334" s="478"/>
      <c r="D334" s="478"/>
      <c r="E334" s="473"/>
      <c r="F334" s="473"/>
      <c r="G334" s="509"/>
      <c r="H334" s="478"/>
      <c r="I334" s="478"/>
      <c r="J334" s="478"/>
      <c r="K334" s="478"/>
      <c r="L334" s="478"/>
      <c r="M334" s="510"/>
      <c r="N334" s="510"/>
      <c r="O334" s="510"/>
      <c r="P334" s="511"/>
      <c r="Q334" s="510"/>
      <c r="R334" s="511"/>
      <c r="S334" s="478"/>
      <c r="T334" s="478"/>
      <c r="U334" s="478"/>
      <c r="V334" s="511"/>
      <c r="W334" s="512"/>
      <c r="X334" s="512"/>
      <c r="Y334" s="513"/>
      <c r="Z334" s="512"/>
      <c r="AA334" s="277"/>
      <c r="AB334" s="277"/>
      <c r="AC334" s="277"/>
      <c r="AD334" s="277"/>
      <c r="AE334" s="277"/>
      <c r="AF334" s="277"/>
      <c r="AG334" s="277"/>
      <c r="AH334" s="277"/>
      <c r="AI334" s="277"/>
      <c r="AJ334" s="277"/>
      <c r="AK334" s="277"/>
      <c r="AL334" s="277"/>
      <c r="AM334" s="277"/>
      <c r="AN334" s="277"/>
      <c r="AO334" s="277"/>
      <c r="AP334" s="514"/>
      <c r="AQ334" s="277"/>
      <c r="AR334" s="514"/>
      <c r="AS334" s="515"/>
    </row>
    <row r="335" spans="3:45" s="516" customFormat="1" x14ac:dyDescent="0.25">
      <c r="C335" s="478"/>
      <c r="D335" s="478"/>
      <c r="E335" s="473"/>
      <c r="F335" s="473"/>
      <c r="G335" s="509"/>
      <c r="H335" s="478"/>
      <c r="I335" s="478"/>
      <c r="J335" s="478"/>
      <c r="K335" s="478"/>
      <c r="L335" s="478"/>
      <c r="M335" s="510"/>
      <c r="N335" s="510"/>
      <c r="O335" s="510"/>
      <c r="P335" s="511"/>
      <c r="Q335" s="510"/>
      <c r="R335" s="511"/>
      <c r="S335" s="478"/>
      <c r="T335" s="478"/>
      <c r="U335" s="478"/>
      <c r="V335" s="511"/>
      <c r="W335" s="512"/>
      <c r="X335" s="512"/>
      <c r="Y335" s="513"/>
      <c r="Z335" s="512"/>
      <c r="AA335" s="277"/>
      <c r="AB335" s="277"/>
      <c r="AC335" s="277"/>
      <c r="AD335" s="277"/>
      <c r="AE335" s="277"/>
      <c r="AF335" s="277"/>
      <c r="AG335" s="277"/>
      <c r="AH335" s="277"/>
      <c r="AI335" s="277"/>
      <c r="AJ335" s="277"/>
      <c r="AK335" s="277"/>
      <c r="AL335" s="277"/>
      <c r="AM335" s="277"/>
      <c r="AN335" s="277"/>
      <c r="AO335" s="277"/>
      <c r="AP335" s="514"/>
      <c r="AQ335" s="277"/>
      <c r="AR335" s="514"/>
      <c r="AS335" s="515"/>
    </row>
    <row r="336" spans="3:45" s="516" customFormat="1" x14ac:dyDescent="0.25">
      <c r="C336" s="478"/>
      <c r="D336" s="478"/>
      <c r="E336" s="473"/>
      <c r="F336" s="473"/>
      <c r="G336" s="509"/>
      <c r="H336" s="478"/>
      <c r="I336" s="478"/>
      <c r="J336" s="478"/>
      <c r="K336" s="478"/>
      <c r="L336" s="478"/>
      <c r="M336" s="510"/>
      <c r="N336" s="510"/>
      <c r="O336" s="510"/>
      <c r="P336" s="511"/>
      <c r="Q336" s="510"/>
      <c r="R336" s="511"/>
      <c r="S336" s="478"/>
      <c r="T336" s="478"/>
      <c r="U336" s="478"/>
      <c r="V336" s="511"/>
      <c r="W336" s="512"/>
      <c r="X336" s="512"/>
      <c r="Y336" s="513"/>
      <c r="Z336" s="512"/>
      <c r="AA336" s="277"/>
      <c r="AB336" s="277"/>
      <c r="AC336" s="277"/>
      <c r="AD336" s="277"/>
      <c r="AE336" s="277"/>
      <c r="AF336" s="277"/>
      <c r="AG336" s="277"/>
      <c r="AH336" s="277"/>
      <c r="AI336" s="277"/>
      <c r="AJ336" s="277"/>
      <c r="AK336" s="277"/>
      <c r="AL336" s="277"/>
      <c r="AM336" s="277"/>
      <c r="AN336" s="277"/>
      <c r="AO336" s="277"/>
      <c r="AP336" s="514"/>
      <c r="AQ336" s="277"/>
      <c r="AR336" s="514"/>
      <c r="AS336" s="515"/>
    </row>
    <row r="337" spans="3:45" s="516" customFormat="1" x14ac:dyDescent="0.25">
      <c r="C337" s="478"/>
      <c r="D337" s="478"/>
      <c r="E337" s="473"/>
      <c r="F337" s="473"/>
      <c r="G337" s="509"/>
      <c r="H337" s="478"/>
      <c r="I337" s="478"/>
      <c r="J337" s="478"/>
      <c r="K337" s="478"/>
      <c r="L337" s="478"/>
      <c r="M337" s="510"/>
      <c r="N337" s="510"/>
      <c r="O337" s="510"/>
      <c r="P337" s="511"/>
      <c r="Q337" s="510"/>
      <c r="R337" s="511"/>
      <c r="S337" s="478"/>
      <c r="T337" s="478"/>
      <c r="U337" s="478"/>
      <c r="V337" s="511"/>
      <c r="W337" s="512"/>
      <c r="X337" s="512"/>
      <c r="Y337" s="513"/>
      <c r="Z337" s="512"/>
      <c r="AA337" s="277"/>
      <c r="AB337" s="277"/>
      <c r="AC337" s="277"/>
      <c r="AD337" s="277"/>
      <c r="AE337" s="277"/>
      <c r="AF337" s="277"/>
      <c r="AG337" s="277"/>
      <c r="AH337" s="277"/>
      <c r="AI337" s="277"/>
      <c r="AJ337" s="277"/>
      <c r="AK337" s="277"/>
      <c r="AL337" s="277"/>
      <c r="AM337" s="277"/>
      <c r="AN337" s="277"/>
      <c r="AO337" s="277"/>
      <c r="AP337" s="514"/>
      <c r="AQ337" s="277"/>
      <c r="AR337" s="514"/>
      <c r="AS337" s="515"/>
    </row>
    <row r="338" spans="3:45" s="516" customFormat="1" x14ac:dyDescent="0.25">
      <c r="C338" s="478"/>
      <c r="D338" s="478"/>
      <c r="E338" s="473"/>
      <c r="F338" s="473"/>
      <c r="G338" s="509"/>
      <c r="H338" s="478"/>
      <c r="I338" s="478"/>
      <c r="J338" s="478"/>
      <c r="K338" s="478"/>
      <c r="L338" s="478"/>
      <c r="M338" s="510"/>
      <c r="N338" s="510"/>
      <c r="O338" s="510"/>
      <c r="P338" s="511"/>
      <c r="Q338" s="510"/>
      <c r="R338" s="511"/>
      <c r="S338" s="478"/>
      <c r="T338" s="478"/>
      <c r="U338" s="478"/>
      <c r="V338" s="511"/>
      <c r="W338" s="512"/>
      <c r="X338" s="512"/>
      <c r="Y338" s="513"/>
      <c r="Z338" s="512"/>
      <c r="AA338" s="277"/>
      <c r="AB338" s="277"/>
      <c r="AC338" s="277"/>
      <c r="AD338" s="277"/>
      <c r="AE338" s="277"/>
      <c r="AF338" s="277"/>
      <c r="AG338" s="277"/>
      <c r="AH338" s="277"/>
      <c r="AI338" s="277"/>
      <c r="AJ338" s="277"/>
      <c r="AK338" s="277"/>
      <c r="AL338" s="277"/>
      <c r="AM338" s="277"/>
      <c r="AN338" s="277"/>
      <c r="AO338" s="277"/>
      <c r="AP338" s="514"/>
      <c r="AQ338" s="277"/>
      <c r="AR338" s="514"/>
      <c r="AS338" s="515"/>
    </row>
    <row r="339" spans="3:45" s="516" customFormat="1" x14ac:dyDescent="0.25">
      <c r="C339" s="478"/>
      <c r="D339" s="478"/>
      <c r="E339" s="473"/>
      <c r="F339" s="473"/>
      <c r="G339" s="509"/>
      <c r="H339" s="478"/>
      <c r="I339" s="478"/>
      <c r="J339" s="478"/>
      <c r="K339" s="478"/>
      <c r="L339" s="478"/>
      <c r="M339" s="510"/>
      <c r="N339" s="510"/>
      <c r="O339" s="510"/>
      <c r="P339" s="511"/>
      <c r="Q339" s="510"/>
      <c r="R339" s="511"/>
      <c r="S339" s="478"/>
      <c r="T339" s="478"/>
      <c r="U339" s="478"/>
      <c r="V339" s="511"/>
      <c r="W339" s="512"/>
      <c r="X339" s="512"/>
      <c r="Y339" s="513"/>
      <c r="Z339" s="512"/>
      <c r="AA339" s="277"/>
      <c r="AB339" s="277"/>
      <c r="AC339" s="277"/>
      <c r="AD339" s="277"/>
      <c r="AE339" s="277"/>
      <c r="AF339" s="277"/>
      <c r="AG339" s="277"/>
      <c r="AH339" s="277"/>
      <c r="AI339" s="277"/>
      <c r="AJ339" s="277"/>
      <c r="AK339" s="277"/>
      <c r="AL339" s="277"/>
      <c r="AM339" s="277"/>
      <c r="AN339" s="277"/>
      <c r="AO339" s="277"/>
      <c r="AP339" s="514"/>
      <c r="AQ339" s="277"/>
      <c r="AR339" s="514"/>
      <c r="AS339" s="515"/>
    </row>
    <row r="340" spans="3:45" s="516" customFormat="1" x14ac:dyDescent="0.25">
      <c r="C340" s="478"/>
      <c r="D340" s="478"/>
      <c r="E340" s="473"/>
      <c r="F340" s="473"/>
      <c r="G340" s="509"/>
      <c r="H340" s="478"/>
      <c r="I340" s="478"/>
      <c r="J340" s="478"/>
      <c r="K340" s="478"/>
      <c r="L340" s="478"/>
      <c r="M340" s="510"/>
      <c r="N340" s="510"/>
      <c r="O340" s="510"/>
      <c r="P340" s="511"/>
      <c r="Q340" s="510"/>
      <c r="R340" s="511"/>
      <c r="S340" s="478"/>
      <c r="T340" s="478"/>
      <c r="U340" s="478"/>
      <c r="V340" s="511"/>
      <c r="W340" s="512"/>
      <c r="X340" s="512"/>
      <c r="Y340" s="513"/>
      <c r="Z340" s="512"/>
      <c r="AA340" s="277"/>
      <c r="AB340" s="277"/>
      <c r="AC340" s="277"/>
      <c r="AD340" s="277"/>
      <c r="AE340" s="277"/>
      <c r="AF340" s="277"/>
      <c r="AG340" s="277"/>
      <c r="AH340" s="277"/>
      <c r="AI340" s="277"/>
      <c r="AJ340" s="277"/>
      <c r="AK340" s="277"/>
      <c r="AL340" s="277"/>
      <c r="AM340" s="277"/>
      <c r="AN340" s="277"/>
      <c r="AO340" s="277"/>
      <c r="AP340" s="514"/>
      <c r="AQ340" s="277"/>
      <c r="AR340" s="514"/>
      <c r="AS340" s="515"/>
    </row>
    <row r="341" spans="3:45" s="516" customFormat="1" x14ac:dyDescent="0.25">
      <c r="C341" s="478"/>
      <c r="D341" s="478"/>
      <c r="E341" s="473"/>
      <c r="F341" s="473"/>
      <c r="G341" s="509"/>
      <c r="H341" s="478"/>
      <c r="I341" s="478"/>
      <c r="J341" s="478"/>
      <c r="K341" s="478"/>
      <c r="L341" s="478"/>
      <c r="M341" s="510"/>
      <c r="N341" s="510"/>
      <c r="O341" s="510"/>
      <c r="P341" s="511"/>
      <c r="Q341" s="510"/>
      <c r="R341" s="511"/>
      <c r="S341" s="478"/>
      <c r="T341" s="478"/>
      <c r="U341" s="478"/>
      <c r="V341" s="511"/>
      <c r="W341" s="512"/>
      <c r="X341" s="512"/>
      <c r="Y341" s="513"/>
      <c r="Z341" s="512"/>
      <c r="AA341" s="277"/>
      <c r="AB341" s="277"/>
      <c r="AC341" s="277"/>
      <c r="AD341" s="277"/>
      <c r="AE341" s="277"/>
      <c r="AF341" s="277"/>
      <c r="AG341" s="277"/>
      <c r="AH341" s="277"/>
      <c r="AI341" s="277"/>
      <c r="AJ341" s="277"/>
      <c r="AK341" s="277"/>
      <c r="AL341" s="277"/>
      <c r="AM341" s="277"/>
      <c r="AN341" s="277"/>
      <c r="AO341" s="277"/>
      <c r="AP341" s="514"/>
      <c r="AQ341" s="277"/>
      <c r="AR341" s="514"/>
      <c r="AS341" s="515"/>
    </row>
    <row r="342" spans="3:45" s="516" customFormat="1" x14ac:dyDescent="0.25">
      <c r="C342" s="478"/>
      <c r="D342" s="478"/>
      <c r="E342" s="473"/>
      <c r="F342" s="473"/>
      <c r="G342" s="509"/>
      <c r="H342" s="478"/>
      <c r="I342" s="478"/>
      <c r="J342" s="478"/>
      <c r="K342" s="478"/>
      <c r="L342" s="478"/>
      <c r="M342" s="510"/>
      <c r="N342" s="510"/>
      <c r="O342" s="510"/>
      <c r="P342" s="511"/>
      <c r="Q342" s="510"/>
      <c r="R342" s="511"/>
      <c r="S342" s="478"/>
      <c r="T342" s="478"/>
      <c r="U342" s="478"/>
      <c r="V342" s="511"/>
      <c r="W342" s="512"/>
      <c r="X342" s="512"/>
      <c r="Y342" s="513"/>
      <c r="Z342" s="512"/>
      <c r="AA342" s="277"/>
      <c r="AB342" s="277"/>
      <c r="AC342" s="277"/>
      <c r="AD342" s="277"/>
      <c r="AE342" s="277"/>
      <c r="AF342" s="277"/>
      <c r="AG342" s="277"/>
      <c r="AH342" s="277"/>
      <c r="AI342" s="277"/>
      <c r="AJ342" s="277"/>
      <c r="AK342" s="277"/>
      <c r="AL342" s="277"/>
      <c r="AM342" s="277"/>
      <c r="AN342" s="277"/>
      <c r="AO342" s="277"/>
      <c r="AP342" s="514"/>
      <c r="AQ342" s="277"/>
      <c r="AR342" s="514"/>
      <c r="AS342" s="515"/>
    </row>
    <row r="343" spans="3:45" s="516" customFormat="1" x14ac:dyDescent="0.25">
      <c r="C343" s="478"/>
      <c r="D343" s="478"/>
      <c r="E343" s="473"/>
      <c r="F343" s="473"/>
      <c r="G343" s="509"/>
      <c r="H343" s="478"/>
      <c r="I343" s="478"/>
      <c r="J343" s="478"/>
      <c r="K343" s="478"/>
      <c r="L343" s="478"/>
      <c r="M343" s="510"/>
      <c r="N343" s="510"/>
      <c r="O343" s="510"/>
      <c r="P343" s="511"/>
      <c r="Q343" s="510"/>
      <c r="R343" s="511"/>
      <c r="S343" s="478"/>
      <c r="T343" s="478"/>
      <c r="U343" s="478"/>
      <c r="V343" s="511"/>
      <c r="W343" s="512"/>
      <c r="X343" s="512"/>
      <c r="Y343" s="513"/>
      <c r="Z343" s="512"/>
      <c r="AA343" s="277"/>
      <c r="AB343" s="277"/>
      <c r="AC343" s="277"/>
      <c r="AD343" s="277"/>
      <c r="AE343" s="277"/>
      <c r="AF343" s="277"/>
      <c r="AG343" s="277"/>
      <c r="AH343" s="277"/>
      <c r="AI343" s="277"/>
      <c r="AJ343" s="277"/>
      <c r="AK343" s="277"/>
      <c r="AL343" s="277"/>
      <c r="AM343" s="277"/>
      <c r="AN343" s="277"/>
      <c r="AO343" s="277"/>
      <c r="AP343" s="514"/>
      <c r="AQ343" s="277"/>
      <c r="AR343" s="514"/>
      <c r="AS343" s="515"/>
    </row>
    <row r="344" spans="3:45" s="516" customFormat="1" x14ac:dyDescent="0.25">
      <c r="C344" s="478"/>
      <c r="D344" s="478"/>
      <c r="E344" s="473"/>
      <c r="F344" s="473"/>
      <c r="G344" s="509"/>
      <c r="H344" s="478"/>
      <c r="I344" s="478"/>
      <c r="J344" s="478"/>
      <c r="K344" s="478"/>
      <c r="L344" s="478"/>
      <c r="M344" s="510"/>
      <c r="N344" s="510"/>
      <c r="O344" s="510"/>
      <c r="P344" s="511"/>
      <c r="Q344" s="510"/>
      <c r="R344" s="511"/>
      <c r="S344" s="478"/>
      <c r="T344" s="478"/>
      <c r="U344" s="478"/>
      <c r="V344" s="511"/>
      <c r="W344" s="512"/>
      <c r="X344" s="512"/>
      <c r="Y344" s="513"/>
      <c r="Z344" s="512"/>
      <c r="AA344" s="277"/>
      <c r="AB344" s="277"/>
      <c r="AC344" s="277"/>
      <c r="AD344" s="277"/>
      <c r="AE344" s="277"/>
      <c r="AF344" s="277"/>
      <c r="AG344" s="277"/>
      <c r="AH344" s="277"/>
      <c r="AI344" s="277"/>
      <c r="AJ344" s="277"/>
      <c r="AK344" s="277"/>
      <c r="AL344" s="277"/>
      <c r="AM344" s="277"/>
      <c r="AN344" s="277"/>
      <c r="AO344" s="277"/>
      <c r="AP344" s="514"/>
      <c r="AQ344" s="277"/>
      <c r="AR344" s="514"/>
      <c r="AS344" s="515"/>
    </row>
    <row r="345" spans="3:45" s="516" customFormat="1" x14ac:dyDescent="0.25">
      <c r="C345" s="478"/>
      <c r="D345" s="478"/>
      <c r="E345" s="473"/>
      <c r="F345" s="473"/>
      <c r="G345" s="509"/>
      <c r="H345" s="478"/>
      <c r="I345" s="478"/>
      <c r="J345" s="478"/>
      <c r="K345" s="478"/>
      <c r="L345" s="478"/>
      <c r="M345" s="510"/>
      <c r="N345" s="510"/>
      <c r="O345" s="510"/>
      <c r="P345" s="511"/>
      <c r="Q345" s="510"/>
      <c r="R345" s="511"/>
      <c r="S345" s="478"/>
      <c r="T345" s="478"/>
      <c r="U345" s="478"/>
      <c r="V345" s="511"/>
      <c r="W345" s="512"/>
      <c r="X345" s="512"/>
      <c r="Y345" s="513"/>
      <c r="Z345" s="512"/>
      <c r="AA345" s="277"/>
      <c r="AB345" s="277"/>
      <c r="AC345" s="277"/>
      <c r="AD345" s="277"/>
      <c r="AE345" s="277"/>
      <c r="AF345" s="277"/>
      <c r="AG345" s="277"/>
      <c r="AH345" s="277"/>
      <c r="AI345" s="277"/>
      <c r="AJ345" s="277"/>
      <c r="AK345" s="277"/>
      <c r="AL345" s="277"/>
      <c r="AM345" s="277"/>
      <c r="AN345" s="277"/>
      <c r="AO345" s="277"/>
      <c r="AP345" s="514"/>
      <c r="AQ345" s="277"/>
      <c r="AR345" s="514"/>
      <c r="AS345" s="515"/>
    </row>
    <row r="346" spans="3:45" s="516" customFormat="1" x14ac:dyDescent="0.25">
      <c r="C346" s="478"/>
      <c r="D346" s="478"/>
      <c r="E346" s="473"/>
      <c r="F346" s="473"/>
      <c r="G346" s="509"/>
      <c r="H346" s="478"/>
      <c r="I346" s="478"/>
      <c r="J346" s="478"/>
      <c r="K346" s="478"/>
      <c r="L346" s="478"/>
      <c r="M346" s="510"/>
      <c r="N346" s="510"/>
      <c r="O346" s="510"/>
      <c r="P346" s="511"/>
      <c r="Q346" s="510"/>
      <c r="R346" s="511"/>
      <c r="S346" s="478"/>
      <c r="T346" s="478"/>
      <c r="U346" s="478"/>
      <c r="V346" s="511"/>
      <c r="W346" s="512"/>
      <c r="X346" s="512"/>
      <c r="Y346" s="513"/>
      <c r="Z346" s="512"/>
      <c r="AA346" s="277"/>
      <c r="AB346" s="277"/>
      <c r="AC346" s="277"/>
      <c r="AD346" s="277"/>
      <c r="AE346" s="277"/>
      <c r="AF346" s="277"/>
      <c r="AG346" s="277"/>
      <c r="AH346" s="277"/>
      <c r="AI346" s="277"/>
      <c r="AJ346" s="277"/>
      <c r="AK346" s="277"/>
      <c r="AL346" s="277"/>
      <c r="AM346" s="277"/>
      <c r="AN346" s="277"/>
      <c r="AO346" s="277"/>
      <c r="AP346" s="514"/>
      <c r="AQ346" s="277"/>
      <c r="AR346" s="514"/>
      <c r="AS346" s="515"/>
    </row>
    <row r="347" spans="3:45" s="516" customFormat="1" x14ac:dyDescent="0.25">
      <c r="C347" s="478"/>
      <c r="D347" s="478"/>
      <c r="E347" s="473"/>
      <c r="F347" s="473"/>
      <c r="G347" s="509"/>
      <c r="H347" s="478"/>
      <c r="I347" s="478"/>
      <c r="J347" s="478"/>
      <c r="K347" s="478"/>
      <c r="L347" s="478"/>
      <c r="M347" s="510"/>
      <c r="N347" s="510"/>
      <c r="O347" s="510"/>
      <c r="P347" s="511"/>
      <c r="Q347" s="510"/>
      <c r="R347" s="511"/>
      <c r="S347" s="478"/>
      <c r="T347" s="478"/>
      <c r="U347" s="478"/>
      <c r="V347" s="511"/>
      <c r="W347" s="512"/>
      <c r="X347" s="512"/>
      <c r="Y347" s="513"/>
      <c r="Z347" s="512"/>
      <c r="AA347" s="277"/>
      <c r="AB347" s="277"/>
      <c r="AC347" s="277"/>
      <c r="AD347" s="277"/>
      <c r="AE347" s="277"/>
      <c r="AF347" s="277"/>
      <c r="AG347" s="277"/>
      <c r="AH347" s="277"/>
      <c r="AI347" s="277"/>
      <c r="AJ347" s="277"/>
      <c r="AK347" s="277"/>
      <c r="AL347" s="277"/>
      <c r="AM347" s="277"/>
      <c r="AN347" s="277"/>
      <c r="AO347" s="277"/>
      <c r="AP347" s="514"/>
      <c r="AQ347" s="277"/>
      <c r="AR347" s="514"/>
      <c r="AS347" s="515"/>
    </row>
    <row r="348" spans="3:45" s="516" customFormat="1" x14ac:dyDescent="0.25">
      <c r="C348" s="478"/>
      <c r="D348" s="478"/>
      <c r="E348" s="473"/>
      <c r="F348" s="473"/>
      <c r="G348" s="509"/>
      <c r="H348" s="478"/>
      <c r="I348" s="478"/>
      <c r="J348" s="478"/>
      <c r="K348" s="478"/>
      <c r="L348" s="478"/>
      <c r="M348" s="510"/>
      <c r="N348" s="510"/>
      <c r="O348" s="510"/>
      <c r="P348" s="511"/>
      <c r="Q348" s="510"/>
      <c r="R348" s="511"/>
      <c r="S348" s="478"/>
      <c r="T348" s="478"/>
      <c r="U348" s="478"/>
      <c r="V348" s="511"/>
      <c r="W348" s="512"/>
      <c r="X348" s="512"/>
      <c r="Y348" s="513"/>
      <c r="Z348" s="512"/>
      <c r="AA348" s="277"/>
      <c r="AB348" s="277"/>
      <c r="AC348" s="277"/>
      <c r="AD348" s="277"/>
      <c r="AE348" s="277"/>
      <c r="AF348" s="277"/>
      <c r="AG348" s="277"/>
      <c r="AH348" s="277"/>
      <c r="AI348" s="277"/>
      <c r="AJ348" s="277"/>
      <c r="AK348" s="277"/>
      <c r="AL348" s="277"/>
      <c r="AM348" s="277"/>
      <c r="AN348" s="277"/>
      <c r="AO348" s="277"/>
      <c r="AP348" s="514"/>
      <c r="AQ348" s="277"/>
      <c r="AR348" s="514"/>
      <c r="AS348" s="515"/>
    </row>
    <row r="349" spans="3:45" s="516" customFormat="1" x14ac:dyDescent="0.25">
      <c r="C349" s="478"/>
      <c r="D349" s="478"/>
      <c r="E349" s="473"/>
      <c r="F349" s="473"/>
      <c r="G349" s="509"/>
      <c r="H349" s="478"/>
      <c r="I349" s="478"/>
      <c r="J349" s="478"/>
      <c r="K349" s="478"/>
      <c r="L349" s="478"/>
      <c r="M349" s="510"/>
      <c r="N349" s="510"/>
      <c r="O349" s="510"/>
      <c r="P349" s="511"/>
      <c r="Q349" s="510"/>
      <c r="R349" s="511"/>
      <c r="S349" s="478"/>
      <c r="T349" s="478"/>
      <c r="U349" s="478"/>
      <c r="V349" s="511"/>
      <c r="W349" s="512"/>
      <c r="X349" s="512"/>
      <c r="Y349" s="513"/>
      <c r="Z349" s="512"/>
      <c r="AA349" s="277"/>
      <c r="AB349" s="277"/>
      <c r="AC349" s="277"/>
      <c r="AD349" s="277"/>
      <c r="AE349" s="277"/>
      <c r="AF349" s="277"/>
      <c r="AG349" s="277"/>
      <c r="AH349" s="277"/>
      <c r="AI349" s="277"/>
      <c r="AJ349" s="277"/>
      <c r="AK349" s="277"/>
      <c r="AL349" s="277"/>
      <c r="AM349" s="277"/>
      <c r="AN349" s="277"/>
      <c r="AO349" s="277"/>
      <c r="AP349" s="514"/>
      <c r="AQ349" s="277"/>
      <c r="AR349" s="514"/>
      <c r="AS349" s="515"/>
    </row>
    <row r="350" spans="3:45" s="516" customFormat="1" x14ac:dyDescent="0.25">
      <c r="C350" s="478"/>
      <c r="D350" s="478"/>
      <c r="E350" s="473"/>
      <c r="F350" s="473"/>
      <c r="G350" s="509"/>
      <c r="H350" s="478"/>
      <c r="I350" s="478"/>
      <c r="J350" s="478"/>
      <c r="K350" s="478"/>
      <c r="L350" s="478"/>
      <c r="M350" s="510"/>
      <c r="N350" s="510"/>
      <c r="O350" s="510"/>
      <c r="P350" s="511"/>
      <c r="Q350" s="510"/>
      <c r="R350" s="511"/>
      <c r="S350" s="478"/>
      <c r="T350" s="478"/>
      <c r="U350" s="478"/>
      <c r="V350" s="511"/>
      <c r="W350" s="512"/>
      <c r="X350" s="512"/>
      <c r="Y350" s="513"/>
      <c r="Z350" s="512"/>
      <c r="AA350" s="277"/>
      <c r="AB350" s="277"/>
      <c r="AC350" s="277"/>
      <c r="AD350" s="277"/>
      <c r="AE350" s="277"/>
      <c r="AF350" s="277"/>
      <c r="AG350" s="277"/>
      <c r="AH350" s="277"/>
      <c r="AI350" s="277"/>
      <c r="AJ350" s="277"/>
      <c r="AK350" s="277"/>
      <c r="AL350" s="277"/>
      <c r="AM350" s="277"/>
      <c r="AN350" s="277"/>
      <c r="AO350" s="277"/>
      <c r="AP350" s="514"/>
      <c r="AQ350" s="277"/>
      <c r="AR350" s="514"/>
      <c r="AS350" s="515"/>
    </row>
    <row r="351" spans="3:45" s="516" customFormat="1" x14ac:dyDescent="0.25">
      <c r="C351" s="478"/>
      <c r="D351" s="478"/>
      <c r="E351" s="473"/>
      <c r="F351" s="473"/>
      <c r="G351" s="509"/>
      <c r="H351" s="478"/>
      <c r="I351" s="478"/>
      <c r="J351" s="478"/>
      <c r="K351" s="478"/>
      <c r="L351" s="478"/>
      <c r="M351" s="510"/>
      <c r="N351" s="510"/>
      <c r="O351" s="510"/>
      <c r="P351" s="511"/>
      <c r="Q351" s="510"/>
      <c r="R351" s="511"/>
      <c r="S351" s="478"/>
      <c r="T351" s="478"/>
      <c r="U351" s="478"/>
      <c r="V351" s="511"/>
      <c r="W351" s="512"/>
      <c r="X351" s="512"/>
      <c r="Y351" s="513"/>
      <c r="Z351" s="512"/>
      <c r="AA351" s="277"/>
      <c r="AB351" s="277"/>
      <c r="AC351" s="277"/>
      <c r="AD351" s="277"/>
      <c r="AE351" s="277"/>
      <c r="AF351" s="277"/>
      <c r="AG351" s="277"/>
      <c r="AH351" s="277"/>
      <c r="AI351" s="277"/>
      <c r="AJ351" s="277"/>
      <c r="AK351" s="277"/>
      <c r="AL351" s="277"/>
      <c r="AM351" s="277"/>
      <c r="AN351" s="277"/>
      <c r="AO351" s="277"/>
      <c r="AP351" s="514"/>
      <c r="AQ351" s="277"/>
      <c r="AR351" s="514"/>
      <c r="AS351" s="515"/>
    </row>
    <row r="352" spans="3:45" s="516" customFormat="1" x14ac:dyDescent="0.25">
      <c r="C352" s="478"/>
      <c r="D352" s="478"/>
      <c r="E352" s="473"/>
      <c r="F352" s="473"/>
      <c r="G352" s="509"/>
      <c r="H352" s="478"/>
      <c r="I352" s="478"/>
      <c r="J352" s="478"/>
      <c r="K352" s="478"/>
      <c r="L352" s="478"/>
      <c r="M352" s="510"/>
      <c r="N352" s="510"/>
      <c r="O352" s="510"/>
      <c r="P352" s="511"/>
      <c r="Q352" s="510"/>
      <c r="R352" s="511"/>
      <c r="S352" s="478"/>
      <c r="T352" s="478"/>
      <c r="U352" s="478"/>
      <c r="V352" s="511"/>
      <c r="W352" s="512"/>
      <c r="X352" s="512"/>
      <c r="Y352" s="513"/>
      <c r="Z352" s="512"/>
      <c r="AA352" s="277"/>
      <c r="AB352" s="277"/>
      <c r="AC352" s="277"/>
      <c r="AD352" s="277"/>
      <c r="AE352" s="277"/>
      <c r="AF352" s="277"/>
      <c r="AG352" s="277"/>
      <c r="AH352" s="277"/>
      <c r="AI352" s="277"/>
      <c r="AJ352" s="277"/>
      <c r="AK352" s="277"/>
      <c r="AL352" s="277"/>
      <c r="AM352" s="277"/>
      <c r="AN352" s="277"/>
      <c r="AO352" s="277"/>
      <c r="AP352" s="514"/>
      <c r="AQ352" s="277"/>
      <c r="AR352" s="514"/>
      <c r="AS352" s="515"/>
    </row>
    <row r="353" spans="3:45" s="516" customFormat="1" x14ac:dyDescent="0.25">
      <c r="C353" s="478"/>
      <c r="D353" s="478"/>
      <c r="E353" s="473"/>
      <c r="F353" s="473"/>
      <c r="G353" s="509"/>
      <c r="H353" s="478"/>
      <c r="I353" s="478"/>
      <c r="J353" s="478"/>
      <c r="K353" s="478"/>
      <c r="L353" s="478"/>
      <c r="M353" s="510"/>
      <c r="N353" s="510"/>
      <c r="O353" s="510"/>
      <c r="P353" s="511"/>
      <c r="Q353" s="510"/>
      <c r="R353" s="511"/>
      <c r="S353" s="478"/>
      <c r="T353" s="478"/>
      <c r="U353" s="478"/>
      <c r="V353" s="511"/>
      <c r="W353" s="512"/>
      <c r="X353" s="512"/>
      <c r="Y353" s="513"/>
      <c r="Z353" s="512"/>
      <c r="AA353" s="277"/>
      <c r="AB353" s="277"/>
      <c r="AC353" s="277"/>
      <c r="AD353" s="277"/>
      <c r="AE353" s="277"/>
      <c r="AF353" s="277"/>
      <c r="AG353" s="277"/>
      <c r="AH353" s="277"/>
      <c r="AI353" s="277"/>
      <c r="AJ353" s="277"/>
      <c r="AK353" s="277"/>
      <c r="AL353" s="277"/>
      <c r="AM353" s="277"/>
      <c r="AN353" s="277"/>
      <c r="AO353" s="277"/>
      <c r="AP353" s="514"/>
      <c r="AQ353" s="277"/>
      <c r="AR353" s="514"/>
      <c r="AS353" s="515"/>
    </row>
    <row r="354" spans="3:45" s="516" customFormat="1" x14ac:dyDescent="0.25">
      <c r="C354" s="478"/>
      <c r="D354" s="478"/>
      <c r="E354" s="473"/>
      <c r="F354" s="473"/>
      <c r="G354" s="509"/>
      <c r="H354" s="478"/>
      <c r="I354" s="478"/>
      <c r="J354" s="478"/>
      <c r="K354" s="478"/>
      <c r="L354" s="478"/>
      <c r="M354" s="510"/>
      <c r="N354" s="510"/>
      <c r="O354" s="510"/>
      <c r="P354" s="511"/>
      <c r="Q354" s="510"/>
      <c r="R354" s="511"/>
      <c r="S354" s="478"/>
      <c r="T354" s="478"/>
      <c r="U354" s="478"/>
      <c r="V354" s="511"/>
      <c r="W354" s="512"/>
      <c r="X354" s="512"/>
      <c r="Y354" s="513"/>
      <c r="Z354" s="512"/>
      <c r="AA354" s="277"/>
      <c r="AB354" s="277"/>
      <c r="AC354" s="277"/>
      <c r="AD354" s="277"/>
      <c r="AE354" s="277"/>
      <c r="AF354" s="277"/>
      <c r="AG354" s="277"/>
      <c r="AH354" s="277"/>
      <c r="AI354" s="277"/>
      <c r="AJ354" s="277"/>
      <c r="AK354" s="277"/>
      <c r="AL354" s="277"/>
      <c r="AM354" s="277"/>
      <c r="AN354" s="277"/>
      <c r="AO354" s="277"/>
      <c r="AP354" s="514"/>
      <c r="AQ354" s="277"/>
      <c r="AR354" s="514"/>
      <c r="AS354" s="515"/>
    </row>
    <row r="355" spans="3:45" s="516" customFormat="1" x14ac:dyDescent="0.25">
      <c r="C355" s="478"/>
      <c r="D355" s="478"/>
      <c r="E355" s="473"/>
      <c r="F355" s="473"/>
      <c r="G355" s="509"/>
      <c r="H355" s="478"/>
      <c r="I355" s="478"/>
      <c r="J355" s="478"/>
      <c r="K355" s="478"/>
      <c r="L355" s="478"/>
      <c r="M355" s="510"/>
      <c r="N355" s="510"/>
      <c r="O355" s="510"/>
      <c r="P355" s="511"/>
      <c r="Q355" s="510"/>
      <c r="R355" s="511"/>
      <c r="S355" s="478"/>
      <c r="T355" s="478"/>
      <c r="U355" s="478"/>
      <c r="V355" s="511"/>
      <c r="W355" s="512"/>
      <c r="X355" s="512"/>
      <c r="Y355" s="513"/>
      <c r="Z355" s="512"/>
      <c r="AA355" s="277"/>
      <c r="AB355" s="277"/>
      <c r="AC355" s="277"/>
      <c r="AD355" s="277"/>
      <c r="AE355" s="277"/>
      <c r="AF355" s="277"/>
      <c r="AG355" s="277"/>
      <c r="AH355" s="277"/>
      <c r="AI355" s="277"/>
      <c r="AJ355" s="277"/>
      <c r="AK355" s="277"/>
      <c r="AL355" s="277"/>
      <c r="AM355" s="277"/>
      <c r="AN355" s="277"/>
      <c r="AO355" s="277"/>
      <c r="AP355" s="514"/>
      <c r="AQ355" s="277"/>
      <c r="AR355" s="514"/>
      <c r="AS355" s="515"/>
    </row>
    <row r="356" spans="3:45" s="516" customFormat="1" x14ac:dyDescent="0.25">
      <c r="C356" s="478"/>
      <c r="D356" s="478"/>
      <c r="E356" s="473"/>
      <c r="F356" s="473"/>
      <c r="G356" s="509"/>
      <c r="H356" s="478"/>
      <c r="I356" s="478"/>
      <c r="J356" s="478"/>
      <c r="K356" s="478"/>
      <c r="L356" s="478"/>
      <c r="M356" s="510"/>
      <c r="N356" s="510"/>
      <c r="O356" s="510"/>
      <c r="P356" s="511"/>
      <c r="Q356" s="510"/>
      <c r="R356" s="511"/>
      <c r="S356" s="478"/>
      <c r="T356" s="478"/>
      <c r="U356" s="478"/>
      <c r="V356" s="511"/>
      <c r="W356" s="512"/>
      <c r="X356" s="512"/>
      <c r="Y356" s="513"/>
      <c r="Z356" s="512"/>
      <c r="AA356" s="277"/>
      <c r="AB356" s="277"/>
      <c r="AC356" s="277"/>
      <c r="AD356" s="277"/>
      <c r="AE356" s="277"/>
      <c r="AF356" s="277"/>
      <c r="AG356" s="277"/>
      <c r="AH356" s="277"/>
      <c r="AI356" s="277"/>
      <c r="AJ356" s="277"/>
      <c r="AK356" s="277"/>
      <c r="AL356" s="277"/>
      <c r="AM356" s="277"/>
      <c r="AN356" s="277"/>
      <c r="AO356" s="277"/>
      <c r="AP356" s="514"/>
      <c r="AQ356" s="277"/>
      <c r="AR356" s="514"/>
      <c r="AS356" s="515"/>
    </row>
    <row r="357" spans="3:45" s="516" customFormat="1" x14ac:dyDescent="0.25">
      <c r="C357" s="478"/>
      <c r="D357" s="478"/>
      <c r="E357" s="473"/>
      <c r="F357" s="473"/>
      <c r="G357" s="509"/>
      <c r="H357" s="478"/>
      <c r="I357" s="478"/>
      <c r="J357" s="478"/>
      <c r="K357" s="478"/>
      <c r="L357" s="478"/>
      <c r="M357" s="510"/>
      <c r="N357" s="510"/>
      <c r="O357" s="510"/>
      <c r="P357" s="511"/>
      <c r="Q357" s="510"/>
      <c r="R357" s="511"/>
      <c r="S357" s="478"/>
      <c r="T357" s="478"/>
      <c r="U357" s="478"/>
      <c r="V357" s="511"/>
      <c r="W357" s="512"/>
      <c r="X357" s="512"/>
      <c r="Y357" s="513"/>
      <c r="Z357" s="512"/>
      <c r="AA357" s="277"/>
      <c r="AB357" s="277"/>
      <c r="AC357" s="277"/>
      <c r="AD357" s="277"/>
      <c r="AE357" s="277"/>
      <c r="AF357" s="277"/>
      <c r="AG357" s="277"/>
      <c r="AH357" s="277"/>
      <c r="AI357" s="277"/>
      <c r="AJ357" s="277"/>
      <c r="AK357" s="277"/>
      <c r="AL357" s="277"/>
      <c r="AM357" s="277"/>
      <c r="AN357" s="277"/>
      <c r="AO357" s="277"/>
      <c r="AP357" s="514"/>
      <c r="AQ357" s="277"/>
      <c r="AR357" s="514"/>
      <c r="AS357" s="515"/>
    </row>
    <row r="358" spans="3:45" s="516" customFormat="1" x14ac:dyDescent="0.25">
      <c r="C358" s="478"/>
      <c r="D358" s="478"/>
      <c r="E358" s="473"/>
      <c r="F358" s="473"/>
      <c r="G358" s="509"/>
      <c r="H358" s="478"/>
      <c r="I358" s="478"/>
      <c r="J358" s="478"/>
      <c r="K358" s="478"/>
      <c r="L358" s="478"/>
      <c r="M358" s="510"/>
      <c r="N358" s="510"/>
      <c r="O358" s="510"/>
      <c r="P358" s="511"/>
      <c r="Q358" s="510"/>
      <c r="R358" s="511"/>
      <c r="S358" s="478"/>
      <c r="T358" s="478"/>
      <c r="U358" s="478"/>
      <c r="V358" s="511"/>
      <c r="W358" s="512"/>
      <c r="X358" s="512"/>
      <c r="Y358" s="513"/>
      <c r="Z358" s="512"/>
      <c r="AA358" s="277"/>
      <c r="AB358" s="277"/>
      <c r="AC358" s="277"/>
      <c r="AD358" s="277"/>
      <c r="AE358" s="277"/>
      <c r="AF358" s="277"/>
      <c r="AG358" s="277"/>
      <c r="AH358" s="277"/>
      <c r="AI358" s="277"/>
      <c r="AJ358" s="277"/>
      <c r="AK358" s="277"/>
      <c r="AL358" s="277"/>
      <c r="AM358" s="277"/>
      <c r="AN358" s="277"/>
      <c r="AO358" s="277"/>
      <c r="AP358" s="514"/>
      <c r="AQ358" s="277"/>
      <c r="AR358" s="514"/>
      <c r="AS358" s="515"/>
    </row>
    <row r="359" spans="3:45" s="516" customFormat="1" x14ac:dyDescent="0.25">
      <c r="C359" s="478"/>
      <c r="D359" s="478"/>
      <c r="E359" s="473"/>
      <c r="F359" s="473"/>
      <c r="G359" s="509"/>
      <c r="H359" s="478"/>
      <c r="I359" s="478"/>
      <c r="J359" s="478"/>
      <c r="K359" s="478"/>
      <c r="L359" s="478"/>
      <c r="M359" s="510"/>
      <c r="N359" s="510"/>
      <c r="O359" s="510"/>
      <c r="P359" s="511"/>
      <c r="Q359" s="510"/>
      <c r="R359" s="511"/>
      <c r="S359" s="478"/>
      <c r="T359" s="478"/>
      <c r="U359" s="478"/>
      <c r="V359" s="511"/>
      <c r="W359" s="512"/>
      <c r="X359" s="512"/>
      <c r="Y359" s="513"/>
      <c r="Z359" s="512"/>
      <c r="AA359" s="277"/>
      <c r="AB359" s="277"/>
      <c r="AC359" s="277"/>
      <c r="AD359" s="277"/>
      <c r="AE359" s="277"/>
      <c r="AF359" s="277"/>
      <c r="AG359" s="277"/>
      <c r="AH359" s="277"/>
      <c r="AI359" s="277"/>
      <c r="AJ359" s="277"/>
      <c r="AK359" s="277"/>
      <c r="AL359" s="277"/>
      <c r="AM359" s="277"/>
      <c r="AN359" s="277"/>
      <c r="AO359" s="277"/>
      <c r="AP359" s="514"/>
      <c r="AQ359" s="277"/>
      <c r="AR359" s="514"/>
      <c r="AS359" s="515"/>
    </row>
    <row r="360" spans="3:45" s="516" customFormat="1" x14ac:dyDescent="0.25">
      <c r="C360" s="478"/>
      <c r="D360" s="478"/>
      <c r="E360" s="473"/>
      <c r="F360" s="473"/>
      <c r="G360" s="509"/>
      <c r="H360" s="478"/>
      <c r="I360" s="478"/>
      <c r="J360" s="478"/>
      <c r="K360" s="478"/>
      <c r="L360" s="478"/>
      <c r="M360" s="510"/>
      <c r="N360" s="510"/>
      <c r="O360" s="510"/>
      <c r="P360" s="511"/>
      <c r="Q360" s="510"/>
      <c r="R360" s="511"/>
      <c r="S360" s="478"/>
      <c r="T360" s="478"/>
      <c r="U360" s="478"/>
      <c r="V360" s="511"/>
      <c r="W360" s="512"/>
      <c r="X360" s="512"/>
      <c r="Y360" s="513"/>
      <c r="Z360" s="512"/>
      <c r="AA360" s="277"/>
      <c r="AB360" s="277"/>
      <c r="AC360" s="277"/>
      <c r="AD360" s="277"/>
      <c r="AE360" s="277"/>
      <c r="AF360" s="277"/>
      <c r="AG360" s="277"/>
      <c r="AH360" s="277"/>
      <c r="AI360" s="277"/>
      <c r="AJ360" s="277"/>
      <c r="AK360" s="277"/>
      <c r="AL360" s="277"/>
      <c r="AM360" s="277"/>
      <c r="AN360" s="277"/>
      <c r="AO360" s="277"/>
      <c r="AP360" s="514"/>
      <c r="AQ360" s="277"/>
      <c r="AR360" s="514"/>
      <c r="AS360" s="515"/>
    </row>
    <row r="361" spans="3:45" s="516" customFormat="1" x14ac:dyDescent="0.25">
      <c r="C361" s="478"/>
      <c r="D361" s="478"/>
      <c r="E361" s="473"/>
      <c r="F361" s="473"/>
      <c r="G361" s="509"/>
      <c r="H361" s="478"/>
      <c r="I361" s="478"/>
      <c r="J361" s="478"/>
      <c r="K361" s="478"/>
      <c r="L361" s="478"/>
      <c r="M361" s="510"/>
      <c r="N361" s="510"/>
      <c r="O361" s="510"/>
      <c r="P361" s="511"/>
      <c r="Q361" s="510"/>
      <c r="R361" s="511"/>
      <c r="S361" s="478"/>
      <c r="T361" s="478"/>
      <c r="U361" s="478"/>
      <c r="V361" s="511"/>
      <c r="W361" s="512"/>
      <c r="X361" s="512"/>
      <c r="Y361" s="513"/>
      <c r="Z361" s="512"/>
      <c r="AA361" s="277"/>
      <c r="AB361" s="277"/>
      <c r="AC361" s="277"/>
      <c r="AD361" s="277"/>
      <c r="AE361" s="277"/>
      <c r="AF361" s="277"/>
      <c r="AG361" s="277"/>
      <c r="AH361" s="277"/>
      <c r="AI361" s="277"/>
      <c r="AJ361" s="277"/>
      <c r="AK361" s="277"/>
      <c r="AL361" s="277"/>
      <c r="AM361" s="277"/>
      <c r="AN361" s="277"/>
      <c r="AO361" s="277"/>
      <c r="AP361" s="514"/>
      <c r="AQ361" s="277"/>
      <c r="AR361" s="514"/>
      <c r="AS361" s="515"/>
    </row>
    <row r="362" spans="3:45" s="516" customFormat="1" x14ac:dyDescent="0.25">
      <c r="C362" s="478"/>
      <c r="D362" s="478"/>
      <c r="E362" s="473"/>
      <c r="F362" s="473"/>
      <c r="G362" s="509"/>
      <c r="H362" s="478"/>
      <c r="I362" s="478"/>
      <c r="J362" s="478"/>
      <c r="K362" s="478"/>
      <c r="L362" s="478"/>
      <c r="M362" s="510"/>
      <c r="N362" s="510"/>
      <c r="O362" s="510"/>
      <c r="P362" s="511"/>
      <c r="Q362" s="510"/>
      <c r="R362" s="511"/>
      <c r="S362" s="478"/>
      <c r="T362" s="478"/>
      <c r="U362" s="478"/>
      <c r="V362" s="511"/>
      <c r="W362" s="512"/>
      <c r="X362" s="512"/>
      <c r="Y362" s="513"/>
      <c r="Z362" s="512"/>
      <c r="AA362" s="277"/>
      <c r="AB362" s="277"/>
      <c r="AC362" s="277"/>
      <c r="AD362" s="277"/>
      <c r="AE362" s="277"/>
      <c r="AF362" s="277"/>
      <c r="AG362" s="277"/>
      <c r="AH362" s="277"/>
      <c r="AI362" s="277"/>
      <c r="AJ362" s="277"/>
      <c r="AK362" s="277"/>
      <c r="AL362" s="277"/>
      <c r="AM362" s="277"/>
      <c r="AN362" s="277"/>
      <c r="AO362" s="277"/>
      <c r="AP362" s="514"/>
      <c r="AQ362" s="277"/>
      <c r="AR362" s="514"/>
      <c r="AS362" s="515"/>
    </row>
    <row r="363" spans="3:45" s="516" customFormat="1" x14ac:dyDescent="0.25">
      <c r="C363" s="478"/>
      <c r="D363" s="478"/>
      <c r="E363" s="473"/>
      <c r="F363" s="473"/>
      <c r="G363" s="509"/>
      <c r="H363" s="478"/>
      <c r="I363" s="478"/>
      <c r="J363" s="478"/>
      <c r="K363" s="478"/>
      <c r="L363" s="478"/>
      <c r="M363" s="510"/>
      <c r="N363" s="510"/>
      <c r="O363" s="510"/>
      <c r="P363" s="511"/>
      <c r="Q363" s="510"/>
      <c r="R363" s="511"/>
      <c r="S363" s="478"/>
      <c r="T363" s="478"/>
      <c r="U363" s="478"/>
      <c r="V363" s="511"/>
      <c r="W363" s="512"/>
      <c r="X363" s="512"/>
      <c r="Y363" s="513"/>
      <c r="Z363" s="512"/>
      <c r="AA363" s="277"/>
      <c r="AB363" s="277"/>
      <c r="AC363" s="277"/>
      <c r="AD363" s="277"/>
      <c r="AE363" s="277"/>
      <c r="AF363" s="277"/>
      <c r="AG363" s="277"/>
      <c r="AH363" s="277"/>
      <c r="AI363" s="277"/>
      <c r="AJ363" s="277"/>
      <c r="AK363" s="277"/>
      <c r="AL363" s="277"/>
      <c r="AM363" s="277"/>
      <c r="AN363" s="277"/>
      <c r="AO363" s="277"/>
      <c r="AP363" s="514"/>
      <c r="AQ363" s="277"/>
      <c r="AR363" s="514"/>
      <c r="AS363" s="515"/>
    </row>
    <row r="364" spans="3:45" s="516" customFormat="1" x14ac:dyDescent="0.25">
      <c r="C364" s="478"/>
      <c r="D364" s="478"/>
      <c r="E364" s="473"/>
      <c r="F364" s="473"/>
      <c r="G364" s="509"/>
      <c r="H364" s="478"/>
      <c r="I364" s="478"/>
      <c r="J364" s="478"/>
      <c r="K364" s="478"/>
      <c r="L364" s="478"/>
      <c r="M364" s="510"/>
      <c r="N364" s="510"/>
      <c r="O364" s="510"/>
      <c r="P364" s="511"/>
      <c r="Q364" s="510"/>
      <c r="R364" s="511"/>
      <c r="S364" s="478"/>
      <c r="T364" s="478"/>
      <c r="U364" s="478"/>
      <c r="V364" s="511"/>
      <c r="W364" s="512"/>
      <c r="X364" s="512"/>
      <c r="Y364" s="513"/>
      <c r="Z364" s="512"/>
      <c r="AA364" s="277"/>
      <c r="AB364" s="277"/>
      <c r="AC364" s="277"/>
      <c r="AD364" s="277"/>
      <c r="AE364" s="277"/>
      <c r="AF364" s="277"/>
      <c r="AG364" s="277"/>
      <c r="AH364" s="277"/>
      <c r="AI364" s="277"/>
      <c r="AJ364" s="277"/>
      <c r="AK364" s="277"/>
      <c r="AL364" s="277"/>
      <c r="AM364" s="277"/>
      <c r="AN364" s="277"/>
      <c r="AO364" s="277"/>
      <c r="AP364" s="514"/>
      <c r="AQ364" s="277"/>
      <c r="AR364" s="514"/>
      <c r="AS364" s="515"/>
    </row>
    <row r="365" spans="3:45" s="516" customFormat="1" x14ac:dyDescent="0.25">
      <c r="C365" s="478"/>
      <c r="D365" s="478"/>
      <c r="E365" s="473"/>
      <c r="F365" s="473"/>
      <c r="G365" s="509"/>
      <c r="H365" s="478"/>
      <c r="I365" s="478"/>
      <c r="J365" s="478"/>
      <c r="K365" s="478"/>
      <c r="L365" s="478"/>
      <c r="M365" s="510"/>
      <c r="N365" s="510"/>
      <c r="O365" s="510"/>
      <c r="P365" s="511"/>
      <c r="Q365" s="510"/>
      <c r="R365" s="511"/>
      <c r="S365" s="478"/>
      <c r="T365" s="478"/>
      <c r="U365" s="478"/>
      <c r="V365" s="511"/>
      <c r="W365" s="512"/>
      <c r="X365" s="512"/>
      <c r="Y365" s="513"/>
      <c r="Z365" s="512"/>
      <c r="AA365" s="277"/>
      <c r="AB365" s="277"/>
      <c r="AC365" s="277"/>
      <c r="AD365" s="277"/>
      <c r="AE365" s="277"/>
      <c r="AF365" s="277"/>
      <c r="AG365" s="277"/>
      <c r="AH365" s="277"/>
      <c r="AI365" s="277"/>
      <c r="AJ365" s="277"/>
      <c r="AK365" s="277"/>
      <c r="AL365" s="277"/>
      <c r="AM365" s="277"/>
      <c r="AN365" s="277"/>
      <c r="AO365" s="277"/>
      <c r="AP365" s="514"/>
      <c r="AQ365" s="277"/>
      <c r="AR365" s="514"/>
      <c r="AS365" s="515"/>
    </row>
    <row r="366" spans="3:45" s="516" customFormat="1" x14ac:dyDescent="0.25">
      <c r="C366" s="478"/>
      <c r="D366" s="478"/>
      <c r="E366" s="473"/>
      <c r="F366" s="473"/>
      <c r="G366" s="509"/>
      <c r="H366" s="478"/>
      <c r="I366" s="478"/>
      <c r="J366" s="478"/>
      <c r="K366" s="478"/>
      <c r="L366" s="478"/>
      <c r="M366" s="510"/>
      <c r="N366" s="510"/>
      <c r="O366" s="510"/>
      <c r="P366" s="511"/>
      <c r="Q366" s="510"/>
      <c r="R366" s="511"/>
      <c r="S366" s="478"/>
      <c r="T366" s="478"/>
      <c r="U366" s="478"/>
      <c r="V366" s="511"/>
      <c r="W366" s="512"/>
      <c r="X366" s="512"/>
      <c r="Y366" s="513"/>
      <c r="Z366" s="512"/>
      <c r="AA366" s="277"/>
      <c r="AB366" s="277"/>
      <c r="AC366" s="277"/>
      <c r="AD366" s="277"/>
      <c r="AE366" s="277"/>
      <c r="AF366" s="277"/>
      <c r="AG366" s="277"/>
      <c r="AH366" s="277"/>
      <c r="AI366" s="277"/>
      <c r="AJ366" s="277"/>
      <c r="AK366" s="277"/>
      <c r="AL366" s="277"/>
      <c r="AM366" s="277"/>
      <c r="AN366" s="277"/>
      <c r="AO366" s="277"/>
      <c r="AP366" s="514"/>
      <c r="AQ366" s="277"/>
      <c r="AR366" s="514"/>
      <c r="AS366" s="515"/>
    </row>
    <row r="367" spans="3:45" s="516" customFormat="1" x14ac:dyDescent="0.25">
      <c r="C367" s="478"/>
      <c r="D367" s="478"/>
      <c r="E367" s="473"/>
      <c r="F367" s="473"/>
      <c r="G367" s="509"/>
      <c r="H367" s="478"/>
      <c r="I367" s="478"/>
      <c r="J367" s="478"/>
      <c r="K367" s="478"/>
      <c r="L367" s="478"/>
      <c r="M367" s="510"/>
      <c r="N367" s="510"/>
      <c r="O367" s="510"/>
      <c r="P367" s="511"/>
      <c r="Q367" s="510"/>
      <c r="R367" s="511"/>
      <c r="S367" s="478"/>
      <c r="T367" s="478"/>
      <c r="U367" s="478"/>
      <c r="V367" s="511"/>
      <c r="W367" s="512"/>
      <c r="X367" s="512"/>
      <c r="Y367" s="513"/>
      <c r="Z367" s="512"/>
      <c r="AA367" s="277"/>
      <c r="AB367" s="277"/>
      <c r="AC367" s="277"/>
      <c r="AD367" s="277"/>
      <c r="AE367" s="277"/>
      <c r="AF367" s="277"/>
      <c r="AG367" s="277"/>
      <c r="AH367" s="277"/>
      <c r="AI367" s="277"/>
      <c r="AJ367" s="277"/>
      <c r="AK367" s="277"/>
      <c r="AL367" s="277"/>
      <c r="AM367" s="277"/>
      <c r="AN367" s="277"/>
      <c r="AO367" s="277"/>
      <c r="AP367" s="514"/>
      <c r="AQ367" s="277"/>
      <c r="AR367" s="514"/>
      <c r="AS367" s="515"/>
    </row>
    <row r="368" spans="3:45" s="516" customFormat="1" x14ac:dyDescent="0.25">
      <c r="C368" s="478"/>
      <c r="D368" s="478"/>
      <c r="E368" s="473"/>
      <c r="F368" s="473"/>
      <c r="G368" s="509"/>
      <c r="H368" s="478"/>
      <c r="I368" s="478"/>
      <c r="J368" s="478"/>
      <c r="K368" s="478"/>
      <c r="L368" s="478"/>
      <c r="M368" s="510"/>
      <c r="N368" s="510"/>
      <c r="O368" s="510"/>
      <c r="P368" s="511"/>
      <c r="Q368" s="510"/>
      <c r="R368" s="511"/>
      <c r="S368" s="478"/>
      <c r="T368" s="478"/>
      <c r="U368" s="478"/>
      <c r="V368" s="511"/>
      <c r="W368" s="512"/>
      <c r="X368" s="512"/>
      <c r="Y368" s="513"/>
      <c r="Z368" s="512"/>
      <c r="AA368" s="277"/>
      <c r="AB368" s="277"/>
      <c r="AC368" s="277"/>
      <c r="AD368" s="277"/>
      <c r="AE368" s="277"/>
      <c r="AF368" s="277"/>
      <c r="AG368" s="277"/>
      <c r="AH368" s="277"/>
      <c r="AI368" s="277"/>
      <c r="AJ368" s="277"/>
      <c r="AK368" s="277"/>
      <c r="AL368" s="277"/>
      <c r="AM368" s="277"/>
      <c r="AN368" s="277"/>
      <c r="AO368" s="277"/>
      <c r="AP368" s="514"/>
      <c r="AQ368" s="277"/>
      <c r="AR368" s="514"/>
      <c r="AS368" s="515"/>
    </row>
    <row r="369" spans="3:45" s="516" customFormat="1" x14ac:dyDescent="0.25">
      <c r="C369" s="478"/>
      <c r="D369" s="478"/>
      <c r="E369" s="473"/>
      <c r="F369" s="473"/>
      <c r="G369" s="509"/>
      <c r="H369" s="478"/>
      <c r="I369" s="478"/>
      <c r="J369" s="478"/>
      <c r="K369" s="478"/>
      <c r="L369" s="478"/>
      <c r="M369" s="510"/>
      <c r="N369" s="510"/>
      <c r="O369" s="510"/>
      <c r="P369" s="511"/>
      <c r="Q369" s="510"/>
      <c r="R369" s="511"/>
      <c r="S369" s="478"/>
      <c r="T369" s="478"/>
      <c r="U369" s="478"/>
      <c r="V369" s="511"/>
      <c r="W369" s="512"/>
      <c r="X369" s="512"/>
      <c r="Y369" s="513"/>
      <c r="Z369" s="512"/>
      <c r="AA369" s="277"/>
      <c r="AB369" s="277"/>
      <c r="AC369" s="277"/>
      <c r="AD369" s="277"/>
      <c r="AE369" s="277"/>
      <c r="AF369" s="277"/>
      <c r="AG369" s="277"/>
      <c r="AH369" s="277"/>
      <c r="AI369" s="277"/>
      <c r="AJ369" s="277"/>
      <c r="AK369" s="277"/>
      <c r="AL369" s="277"/>
      <c r="AM369" s="277"/>
      <c r="AN369" s="277"/>
      <c r="AO369" s="277"/>
      <c r="AP369" s="514"/>
      <c r="AQ369" s="277"/>
      <c r="AR369" s="514"/>
      <c r="AS369" s="515"/>
    </row>
    <row r="370" spans="3:45" s="516" customFormat="1" x14ac:dyDescent="0.25">
      <c r="C370" s="478"/>
      <c r="D370" s="478"/>
      <c r="E370" s="473"/>
      <c r="F370" s="473"/>
      <c r="G370" s="509"/>
      <c r="H370" s="478"/>
      <c r="I370" s="478"/>
      <c r="J370" s="478"/>
      <c r="K370" s="478"/>
      <c r="L370" s="478"/>
      <c r="M370" s="510"/>
      <c r="N370" s="510"/>
      <c r="O370" s="510"/>
      <c r="P370" s="511"/>
      <c r="Q370" s="510"/>
      <c r="R370" s="511"/>
      <c r="S370" s="478"/>
      <c r="T370" s="478"/>
      <c r="U370" s="478"/>
      <c r="V370" s="511"/>
      <c r="W370" s="512"/>
      <c r="X370" s="512"/>
      <c r="Y370" s="513"/>
      <c r="Z370" s="512"/>
      <c r="AA370" s="277"/>
      <c r="AB370" s="277"/>
      <c r="AC370" s="277"/>
      <c r="AD370" s="277"/>
      <c r="AE370" s="277"/>
      <c r="AF370" s="277"/>
      <c r="AG370" s="277"/>
      <c r="AH370" s="277"/>
      <c r="AI370" s="277"/>
      <c r="AJ370" s="277"/>
      <c r="AK370" s="277"/>
      <c r="AL370" s="277"/>
      <c r="AM370" s="277"/>
      <c r="AN370" s="277"/>
      <c r="AO370" s="277"/>
      <c r="AP370" s="514"/>
      <c r="AQ370" s="277"/>
      <c r="AR370" s="514"/>
      <c r="AS370" s="515"/>
    </row>
    <row r="371" spans="3:45" s="516" customFormat="1" x14ac:dyDescent="0.25">
      <c r="C371" s="478"/>
      <c r="D371" s="478"/>
      <c r="E371" s="473"/>
      <c r="F371" s="473"/>
      <c r="G371" s="509"/>
      <c r="H371" s="478"/>
      <c r="I371" s="478"/>
      <c r="J371" s="478"/>
      <c r="K371" s="478"/>
      <c r="L371" s="478"/>
      <c r="M371" s="510"/>
      <c r="N371" s="510"/>
      <c r="O371" s="510"/>
      <c r="P371" s="511"/>
      <c r="Q371" s="510"/>
      <c r="R371" s="511"/>
      <c r="S371" s="478"/>
      <c r="T371" s="478"/>
      <c r="U371" s="478"/>
      <c r="V371" s="511"/>
      <c r="W371" s="512"/>
      <c r="X371" s="512"/>
      <c r="Y371" s="513"/>
      <c r="Z371" s="512"/>
      <c r="AA371" s="277"/>
      <c r="AB371" s="277"/>
      <c r="AC371" s="277"/>
      <c r="AD371" s="277"/>
      <c r="AE371" s="277"/>
      <c r="AF371" s="277"/>
      <c r="AG371" s="277"/>
      <c r="AH371" s="277"/>
      <c r="AI371" s="277"/>
      <c r="AJ371" s="277"/>
      <c r="AK371" s="277"/>
      <c r="AL371" s="277"/>
      <c r="AM371" s="277"/>
      <c r="AN371" s="277"/>
      <c r="AO371" s="277"/>
      <c r="AP371" s="514"/>
      <c r="AQ371" s="277"/>
      <c r="AR371" s="514"/>
      <c r="AS371" s="515"/>
    </row>
    <row r="372" spans="3:45" s="516" customFormat="1" x14ac:dyDescent="0.25">
      <c r="C372" s="478"/>
      <c r="D372" s="478"/>
      <c r="E372" s="473"/>
      <c r="F372" s="473"/>
      <c r="G372" s="509"/>
      <c r="H372" s="478"/>
      <c r="I372" s="478"/>
      <c r="J372" s="478"/>
      <c r="K372" s="478"/>
      <c r="L372" s="478"/>
      <c r="M372" s="510"/>
      <c r="N372" s="510"/>
      <c r="O372" s="510"/>
      <c r="P372" s="511"/>
      <c r="Q372" s="510"/>
      <c r="R372" s="511"/>
      <c r="S372" s="478"/>
      <c r="T372" s="478"/>
      <c r="U372" s="478"/>
      <c r="V372" s="511"/>
      <c r="W372" s="512"/>
      <c r="X372" s="512"/>
      <c r="Y372" s="513"/>
      <c r="Z372" s="512"/>
      <c r="AA372" s="277"/>
      <c r="AB372" s="277"/>
      <c r="AC372" s="277"/>
      <c r="AD372" s="277"/>
      <c r="AE372" s="277"/>
      <c r="AF372" s="277"/>
      <c r="AG372" s="277"/>
      <c r="AH372" s="277"/>
      <c r="AI372" s="277"/>
      <c r="AJ372" s="277"/>
      <c r="AK372" s="277"/>
      <c r="AL372" s="277"/>
      <c r="AM372" s="277"/>
      <c r="AN372" s="277"/>
      <c r="AO372" s="277"/>
      <c r="AP372" s="514"/>
      <c r="AQ372" s="277"/>
      <c r="AR372" s="514"/>
      <c r="AS372" s="515"/>
    </row>
    <row r="373" spans="3:45" s="516" customFormat="1" x14ac:dyDescent="0.25">
      <c r="C373" s="478"/>
      <c r="D373" s="478"/>
      <c r="E373" s="473"/>
      <c r="F373" s="473"/>
      <c r="G373" s="509"/>
      <c r="H373" s="478"/>
      <c r="I373" s="478"/>
      <c r="J373" s="478"/>
      <c r="K373" s="478"/>
      <c r="L373" s="478"/>
      <c r="M373" s="510"/>
      <c r="N373" s="510"/>
      <c r="O373" s="510"/>
      <c r="P373" s="511"/>
      <c r="Q373" s="510"/>
      <c r="R373" s="511"/>
      <c r="S373" s="478"/>
      <c r="T373" s="478"/>
      <c r="U373" s="478"/>
      <c r="V373" s="511"/>
      <c r="W373" s="512"/>
      <c r="X373" s="512"/>
      <c r="Y373" s="513"/>
      <c r="Z373" s="512"/>
      <c r="AA373" s="277"/>
      <c r="AB373" s="277"/>
      <c r="AC373" s="277"/>
      <c r="AD373" s="277"/>
      <c r="AE373" s="277"/>
      <c r="AF373" s="277"/>
      <c r="AG373" s="277"/>
      <c r="AH373" s="277"/>
      <c r="AI373" s="277"/>
      <c r="AJ373" s="277"/>
      <c r="AK373" s="277"/>
      <c r="AL373" s="277"/>
      <c r="AM373" s="277"/>
      <c r="AN373" s="277"/>
      <c r="AO373" s="277"/>
      <c r="AP373" s="514"/>
      <c r="AQ373" s="277"/>
      <c r="AR373" s="514"/>
      <c r="AS373" s="515"/>
    </row>
    <row r="374" spans="3:45" s="516" customFormat="1" x14ac:dyDescent="0.25">
      <c r="C374" s="478"/>
      <c r="D374" s="478"/>
      <c r="E374" s="473"/>
      <c r="F374" s="473"/>
      <c r="G374" s="509"/>
      <c r="H374" s="478"/>
      <c r="I374" s="478"/>
      <c r="J374" s="478"/>
      <c r="K374" s="478"/>
      <c r="L374" s="478"/>
      <c r="M374" s="510"/>
      <c r="N374" s="510"/>
      <c r="O374" s="510"/>
      <c r="P374" s="511"/>
      <c r="Q374" s="510"/>
      <c r="R374" s="511"/>
      <c r="S374" s="478"/>
      <c r="T374" s="478"/>
      <c r="U374" s="478"/>
      <c r="V374" s="511"/>
      <c r="W374" s="512"/>
      <c r="X374" s="512"/>
      <c r="Y374" s="513"/>
      <c r="Z374" s="512"/>
      <c r="AA374" s="277"/>
      <c r="AB374" s="277"/>
      <c r="AC374" s="277"/>
      <c r="AD374" s="277"/>
      <c r="AE374" s="277"/>
      <c r="AF374" s="277"/>
      <c r="AG374" s="277"/>
      <c r="AH374" s="277"/>
      <c r="AI374" s="277"/>
      <c r="AJ374" s="277"/>
      <c r="AK374" s="277"/>
      <c r="AL374" s="277"/>
      <c r="AM374" s="277"/>
      <c r="AN374" s="277"/>
      <c r="AO374" s="277"/>
      <c r="AP374" s="514"/>
      <c r="AQ374" s="277"/>
      <c r="AR374" s="514"/>
      <c r="AS374" s="515"/>
    </row>
    <row r="375" spans="3:45" s="516" customFormat="1" x14ac:dyDescent="0.25">
      <c r="C375" s="478"/>
      <c r="D375" s="478"/>
      <c r="E375" s="473"/>
      <c r="F375" s="473"/>
      <c r="G375" s="509"/>
      <c r="H375" s="478"/>
      <c r="I375" s="478"/>
      <c r="J375" s="478"/>
      <c r="K375" s="478"/>
      <c r="L375" s="478"/>
      <c r="M375" s="510"/>
      <c r="N375" s="510"/>
      <c r="O375" s="510"/>
      <c r="P375" s="511"/>
      <c r="Q375" s="510"/>
      <c r="R375" s="511"/>
      <c r="S375" s="478"/>
      <c r="T375" s="478"/>
      <c r="U375" s="478"/>
      <c r="V375" s="511"/>
      <c r="W375" s="512"/>
      <c r="X375" s="512"/>
      <c r="Y375" s="513"/>
      <c r="Z375" s="512"/>
      <c r="AA375" s="277"/>
      <c r="AB375" s="277"/>
      <c r="AC375" s="277"/>
      <c r="AD375" s="277"/>
      <c r="AE375" s="277"/>
      <c r="AF375" s="277"/>
      <c r="AG375" s="277"/>
      <c r="AH375" s="277"/>
      <c r="AI375" s="277"/>
      <c r="AJ375" s="277"/>
      <c r="AK375" s="277"/>
      <c r="AL375" s="277"/>
      <c r="AM375" s="277"/>
      <c r="AN375" s="277"/>
      <c r="AO375" s="277"/>
      <c r="AP375" s="514"/>
      <c r="AQ375" s="277"/>
      <c r="AR375" s="514"/>
      <c r="AS375" s="515"/>
    </row>
    <row r="376" spans="3:45" s="516" customFormat="1" x14ac:dyDescent="0.25">
      <c r="C376" s="478"/>
      <c r="D376" s="478"/>
      <c r="E376" s="473"/>
      <c r="F376" s="473"/>
      <c r="G376" s="509"/>
      <c r="H376" s="478"/>
      <c r="I376" s="478"/>
      <c r="J376" s="478"/>
      <c r="K376" s="478"/>
      <c r="L376" s="478"/>
      <c r="M376" s="510"/>
      <c r="N376" s="510"/>
      <c r="O376" s="510"/>
      <c r="P376" s="511"/>
      <c r="Q376" s="510"/>
      <c r="R376" s="511"/>
      <c r="S376" s="478"/>
      <c r="T376" s="478"/>
      <c r="U376" s="478"/>
      <c r="V376" s="511"/>
      <c r="W376" s="512"/>
      <c r="X376" s="512"/>
      <c r="Y376" s="513"/>
      <c r="Z376" s="512"/>
      <c r="AA376" s="277"/>
      <c r="AB376" s="277"/>
      <c r="AC376" s="277"/>
      <c r="AD376" s="277"/>
      <c r="AE376" s="277"/>
      <c r="AF376" s="277"/>
      <c r="AG376" s="277"/>
      <c r="AH376" s="277"/>
      <c r="AI376" s="277"/>
      <c r="AJ376" s="277"/>
      <c r="AK376" s="277"/>
      <c r="AL376" s="277"/>
      <c r="AM376" s="277"/>
      <c r="AN376" s="277"/>
      <c r="AO376" s="277"/>
      <c r="AP376" s="514"/>
      <c r="AQ376" s="277"/>
      <c r="AR376" s="514"/>
      <c r="AS376" s="515"/>
    </row>
    <row r="377" spans="3:45" s="516" customFormat="1" x14ac:dyDescent="0.25">
      <c r="C377" s="478"/>
      <c r="D377" s="478"/>
      <c r="E377" s="473"/>
      <c r="F377" s="473"/>
      <c r="G377" s="509"/>
      <c r="H377" s="478"/>
      <c r="I377" s="478"/>
      <c r="J377" s="478"/>
      <c r="K377" s="478"/>
      <c r="L377" s="478"/>
      <c r="M377" s="510"/>
      <c r="N377" s="510"/>
      <c r="O377" s="510"/>
      <c r="P377" s="511"/>
      <c r="Q377" s="510"/>
      <c r="R377" s="511"/>
      <c r="S377" s="478"/>
      <c r="T377" s="478"/>
      <c r="U377" s="478"/>
      <c r="V377" s="511"/>
      <c r="W377" s="512"/>
      <c r="X377" s="512"/>
      <c r="Y377" s="513"/>
      <c r="Z377" s="512"/>
      <c r="AA377" s="277"/>
      <c r="AB377" s="277"/>
      <c r="AC377" s="277"/>
      <c r="AD377" s="277"/>
      <c r="AE377" s="277"/>
      <c r="AF377" s="277"/>
      <c r="AG377" s="277"/>
      <c r="AH377" s="277"/>
      <c r="AI377" s="277"/>
      <c r="AJ377" s="277"/>
      <c r="AK377" s="277"/>
      <c r="AL377" s="277"/>
      <c r="AM377" s="277"/>
      <c r="AN377" s="277"/>
      <c r="AO377" s="277"/>
      <c r="AP377" s="514"/>
      <c r="AQ377" s="277"/>
      <c r="AR377" s="514"/>
      <c r="AS377" s="515"/>
    </row>
    <row r="378" spans="3:45" s="516" customFormat="1" x14ac:dyDescent="0.25">
      <c r="C378" s="478"/>
      <c r="D378" s="478"/>
      <c r="E378" s="473"/>
      <c r="F378" s="473"/>
      <c r="G378" s="509"/>
      <c r="H378" s="478"/>
      <c r="I378" s="478"/>
      <c r="J378" s="478"/>
      <c r="K378" s="478"/>
      <c r="L378" s="478"/>
      <c r="M378" s="510"/>
      <c r="N378" s="510"/>
      <c r="O378" s="510"/>
      <c r="P378" s="511"/>
      <c r="Q378" s="510"/>
      <c r="R378" s="511"/>
      <c r="S378" s="478"/>
      <c r="T378" s="478"/>
      <c r="U378" s="478"/>
      <c r="V378" s="511"/>
      <c r="W378" s="512"/>
      <c r="X378" s="512"/>
      <c r="Y378" s="513"/>
      <c r="Z378" s="512"/>
      <c r="AA378" s="277"/>
      <c r="AB378" s="277"/>
      <c r="AC378" s="277"/>
      <c r="AD378" s="277"/>
      <c r="AE378" s="277"/>
      <c r="AF378" s="277"/>
      <c r="AG378" s="277"/>
      <c r="AH378" s="277"/>
      <c r="AI378" s="277"/>
      <c r="AJ378" s="277"/>
      <c r="AK378" s="277"/>
      <c r="AL378" s="277"/>
      <c r="AM378" s="277"/>
      <c r="AN378" s="277"/>
      <c r="AO378" s="277"/>
      <c r="AP378" s="514"/>
      <c r="AQ378" s="277"/>
      <c r="AR378" s="514"/>
      <c r="AS378" s="515"/>
    </row>
    <row r="379" spans="3:45" s="516" customFormat="1" x14ac:dyDescent="0.25">
      <c r="C379" s="478"/>
      <c r="D379" s="478"/>
      <c r="E379" s="473"/>
      <c r="F379" s="473"/>
      <c r="G379" s="509"/>
      <c r="H379" s="478"/>
      <c r="I379" s="478"/>
      <c r="J379" s="478"/>
      <c r="K379" s="478"/>
      <c r="L379" s="478"/>
      <c r="M379" s="510"/>
      <c r="N379" s="510"/>
      <c r="O379" s="510"/>
      <c r="P379" s="511"/>
      <c r="Q379" s="510"/>
      <c r="R379" s="511"/>
      <c r="S379" s="478"/>
      <c r="T379" s="478"/>
      <c r="U379" s="478"/>
      <c r="V379" s="511"/>
      <c r="W379" s="512"/>
      <c r="X379" s="512"/>
      <c r="Y379" s="513"/>
      <c r="Z379" s="512"/>
      <c r="AA379" s="277"/>
      <c r="AB379" s="277"/>
      <c r="AC379" s="277"/>
      <c r="AD379" s="277"/>
      <c r="AE379" s="277"/>
      <c r="AF379" s="277"/>
      <c r="AG379" s="277"/>
      <c r="AH379" s="277"/>
      <c r="AI379" s="277"/>
      <c r="AJ379" s="277"/>
      <c r="AK379" s="277"/>
      <c r="AL379" s="277"/>
      <c r="AM379" s="277"/>
      <c r="AN379" s="277"/>
      <c r="AO379" s="277"/>
      <c r="AP379" s="514"/>
      <c r="AQ379" s="277"/>
      <c r="AR379" s="514"/>
      <c r="AS379" s="515"/>
    </row>
    <row r="380" spans="3:45" s="516" customFormat="1" x14ac:dyDescent="0.25">
      <c r="C380" s="478"/>
      <c r="D380" s="478"/>
      <c r="E380" s="473"/>
      <c r="F380" s="473"/>
      <c r="G380" s="509"/>
      <c r="H380" s="478"/>
      <c r="I380" s="478"/>
      <c r="J380" s="478"/>
      <c r="K380" s="478"/>
      <c r="L380" s="478"/>
      <c r="M380" s="510"/>
      <c r="N380" s="510"/>
      <c r="O380" s="510"/>
      <c r="P380" s="511"/>
      <c r="Q380" s="510"/>
      <c r="R380" s="511"/>
      <c r="S380" s="478"/>
      <c r="T380" s="478"/>
      <c r="U380" s="478"/>
      <c r="V380" s="511"/>
      <c r="W380" s="512"/>
      <c r="X380" s="512"/>
      <c r="Y380" s="513"/>
      <c r="Z380" s="512"/>
      <c r="AA380" s="277"/>
      <c r="AB380" s="277"/>
      <c r="AC380" s="277"/>
      <c r="AD380" s="277"/>
      <c r="AE380" s="277"/>
      <c r="AF380" s="277"/>
      <c r="AG380" s="277"/>
      <c r="AH380" s="277"/>
      <c r="AI380" s="277"/>
      <c r="AJ380" s="277"/>
      <c r="AK380" s="277"/>
      <c r="AL380" s="277"/>
      <c r="AM380" s="277"/>
      <c r="AN380" s="277"/>
      <c r="AO380" s="277"/>
      <c r="AP380" s="514"/>
      <c r="AQ380" s="277"/>
      <c r="AR380" s="514"/>
      <c r="AS380" s="515"/>
    </row>
    <row r="381" spans="3:45" s="516" customFormat="1" x14ac:dyDescent="0.25">
      <c r="C381" s="478"/>
      <c r="D381" s="478"/>
      <c r="E381" s="473"/>
      <c r="F381" s="473"/>
      <c r="G381" s="509"/>
      <c r="H381" s="478"/>
      <c r="I381" s="478"/>
      <c r="J381" s="478"/>
      <c r="K381" s="478"/>
      <c r="L381" s="478"/>
      <c r="M381" s="510"/>
      <c r="N381" s="510"/>
      <c r="O381" s="510"/>
      <c r="P381" s="511"/>
      <c r="Q381" s="510"/>
      <c r="R381" s="511"/>
      <c r="S381" s="478"/>
      <c r="T381" s="478"/>
      <c r="U381" s="478"/>
      <c r="V381" s="511"/>
      <c r="W381" s="512"/>
      <c r="X381" s="512"/>
      <c r="Y381" s="513"/>
      <c r="Z381" s="512"/>
      <c r="AA381" s="277"/>
      <c r="AB381" s="277"/>
      <c r="AC381" s="277"/>
      <c r="AD381" s="277"/>
      <c r="AE381" s="277"/>
      <c r="AF381" s="277"/>
      <c r="AG381" s="277"/>
      <c r="AH381" s="277"/>
      <c r="AI381" s="277"/>
      <c r="AJ381" s="277"/>
      <c r="AK381" s="277"/>
      <c r="AL381" s="277"/>
      <c r="AM381" s="277"/>
      <c r="AN381" s="277"/>
      <c r="AO381" s="277"/>
      <c r="AP381" s="514"/>
      <c r="AQ381" s="277"/>
      <c r="AR381" s="514"/>
      <c r="AS381" s="515"/>
    </row>
    <row r="382" spans="3:45" s="516" customFormat="1" x14ac:dyDescent="0.25">
      <c r="C382" s="478"/>
      <c r="D382" s="478"/>
      <c r="E382" s="473"/>
      <c r="F382" s="473"/>
      <c r="G382" s="509"/>
      <c r="H382" s="478"/>
      <c r="I382" s="478"/>
      <c r="J382" s="478"/>
      <c r="K382" s="478"/>
      <c r="L382" s="478"/>
      <c r="M382" s="510"/>
      <c r="N382" s="510"/>
      <c r="O382" s="510"/>
      <c r="P382" s="511"/>
      <c r="Q382" s="510"/>
      <c r="R382" s="511"/>
      <c r="S382" s="478"/>
      <c r="T382" s="478"/>
      <c r="U382" s="478"/>
      <c r="V382" s="511"/>
      <c r="W382" s="512"/>
      <c r="X382" s="512"/>
      <c r="Y382" s="513"/>
      <c r="Z382" s="512"/>
      <c r="AA382" s="277"/>
      <c r="AB382" s="277"/>
      <c r="AC382" s="277"/>
      <c r="AD382" s="277"/>
      <c r="AE382" s="277"/>
      <c r="AF382" s="277"/>
      <c r="AG382" s="277"/>
      <c r="AH382" s="277"/>
      <c r="AI382" s="277"/>
      <c r="AJ382" s="277"/>
      <c r="AK382" s="277"/>
      <c r="AL382" s="277"/>
      <c r="AM382" s="277"/>
      <c r="AN382" s="277"/>
      <c r="AO382" s="277"/>
      <c r="AP382" s="514"/>
      <c r="AQ382" s="277"/>
      <c r="AR382" s="514"/>
      <c r="AS382" s="515"/>
    </row>
    <row r="383" spans="3:45" s="516" customFormat="1" x14ac:dyDescent="0.25">
      <c r="C383" s="478"/>
      <c r="D383" s="478"/>
      <c r="E383" s="473"/>
      <c r="F383" s="473"/>
      <c r="G383" s="509"/>
      <c r="H383" s="478"/>
      <c r="I383" s="478"/>
      <c r="J383" s="478"/>
      <c r="K383" s="478"/>
      <c r="L383" s="478"/>
      <c r="M383" s="510"/>
      <c r="N383" s="510"/>
      <c r="O383" s="510"/>
      <c r="P383" s="511"/>
      <c r="Q383" s="510"/>
      <c r="R383" s="511"/>
      <c r="S383" s="478"/>
      <c r="T383" s="478"/>
      <c r="U383" s="478"/>
      <c r="V383" s="511"/>
      <c r="W383" s="512"/>
      <c r="X383" s="512"/>
      <c r="Y383" s="513"/>
      <c r="Z383" s="512"/>
      <c r="AA383" s="277"/>
      <c r="AB383" s="277"/>
      <c r="AC383" s="277"/>
      <c r="AD383" s="277"/>
      <c r="AE383" s="277"/>
      <c r="AF383" s="277"/>
      <c r="AG383" s="277"/>
      <c r="AH383" s="277"/>
      <c r="AI383" s="277"/>
      <c r="AJ383" s="277"/>
      <c r="AK383" s="277"/>
      <c r="AL383" s="277"/>
      <c r="AM383" s="277"/>
      <c r="AN383" s="277"/>
      <c r="AO383" s="277"/>
      <c r="AP383" s="514"/>
      <c r="AQ383" s="277"/>
      <c r="AR383" s="514"/>
      <c r="AS383" s="515"/>
    </row>
    <row r="384" spans="3:45" s="516" customFormat="1" x14ac:dyDescent="0.25">
      <c r="C384" s="478"/>
      <c r="D384" s="478"/>
      <c r="E384" s="473"/>
      <c r="F384" s="473"/>
      <c r="G384" s="509"/>
      <c r="H384" s="478"/>
      <c r="I384" s="478"/>
      <c r="J384" s="478"/>
      <c r="K384" s="478"/>
      <c r="L384" s="478"/>
      <c r="M384" s="510"/>
      <c r="N384" s="510"/>
      <c r="O384" s="510"/>
      <c r="P384" s="511"/>
      <c r="Q384" s="510"/>
      <c r="R384" s="511"/>
      <c r="S384" s="478"/>
      <c r="T384" s="478"/>
      <c r="U384" s="478"/>
      <c r="V384" s="511"/>
      <c r="W384" s="512"/>
      <c r="X384" s="512"/>
      <c r="Y384" s="513"/>
      <c r="Z384" s="512"/>
      <c r="AA384" s="277"/>
      <c r="AB384" s="277"/>
      <c r="AC384" s="277"/>
      <c r="AD384" s="277"/>
      <c r="AE384" s="277"/>
      <c r="AF384" s="277"/>
      <c r="AG384" s="277"/>
      <c r="AH384" s="277"/>
      <c r="AI384" s="277"/>
      <c r="AJ384" s="277"/>
      <c r="AK384" s="277"/>
      <c r="AL384" s="277"/>
      <c r="AM384" s="277"/>
      <c r="AN384" s="277"/>
      <c r="AO384" s="277"/>
      <c r="AP384" s="514"/>
      <c r="AQ384" s="277"/>
      <c r="AR384" s="514"/>
      <c r="AS384" s="515"/>
    </row>
    <row r="385" spans="3:45" s="516" customFormat="1" x14ac:dyDescent="0.25">
      <c r="C385" s="478"/>
      <c r="D385" s="478"/>
      <c r="E385" s="473"/>
      <c r="F385" s="473"/>
      <c r="G385" s="509"/>
      <c r="H385" s="478"/>
      <c r="I385" s="478"/>
      <c r="J385" s="478"/>
      <c r="K385" s="478"/>
      <c r="L385" s="478"/>
      <c r="M385" s="510"/>
      <c r="N385" s="510"/>
      <c r="O385" s="510"/>
      <c r="P385" s="511"/>
      <c r="Q385" s="510"/>
      <c r="R385" s="511"/>
      <c r="S385" s="478"/>
      <c r="T385" s="478"/>
      <c r="U385" s="478"/>
      <c r="V385" s="511"/>
      <c r="W385" s="512"/>
      <c r="X385" s="512"/>
      <c r="Y385" s="513"/>
      <c r="Z385" s="512"/>
      <c r="AA385" s="277"/>
      <c r="AB385" s="277"/>
      <c r="AC385" s="277"/>
      <c r="AD385" s="277"/>
      <c r="AE385" s="277"/>
      <c r="AF385" s="277"/>
      <c r="AG385" s="277"/>
      <c r="AH385" s="277"/>
      <c r="AI385" s="277"/>
      <c r="AJ385" s="277"/>
      <c r="AK385" s="277"/>
      <c r="AL385" s="277"/>
      <c r="AM385" s="277"/>
      <c r="AN385" s="277"/>
      <c r="AO385" s="277"/>
      <c r="AP385" s="514"/>
      <c r="AQ385" s="277"/>
      <c r="AR385" s="514"/>
      <c r="AS385" s="515"/>
    </row>
    <row r="386" spans="3:45" s="516" customFormat="1" x14ac:dyDescent="0.25">
      <c r="C386" s="478"/>
      <c r="D386" s="478"/>
      <c r="E386" s="473"/>
      <c r="F386" s="473"/>
      <c r="G386" s="509"/>
      <c r="H386" s="478"/>
      <c r="I386" s="478"/>
      <c r="J386" s="478"/>
      <c r="K386" s="478"/>
      <c r="L386" s="478"/>
      <c r="M386" s="510"/>
      <c r="N386" s="510"/>
      <c r="O386" s="510"/>
      <c r="P386" s="511"/>
      <c r="Q386" s="510"/>
      <c r="R386" s="511"/>
      <c r="S386" s="478"/>
      <c r="T386" s="478"/>
      <c r="U386" s="478"/>
      <c r="V386" s="511"/>
      <c r="W386" s="512"/>
      <c r="X386" s="512"/>
      <c r="Y386" s="513"/>
      <c r="Z386" s="512"/>
      <c r="AA386" s="277"/>
      <c r="AB386" s="277"/>
      <c r="AC386" s="277"/>
      <c r="AD386" s="277"/>
      <c r="AE386" s="277"/>
      <c r="AF386" s="277"/>
      <c r="AG386" s="277"/>
      <c r="AH386" s="277"/>
      <c r="AI386" s="277"/>
      <c r="AJ386" s="277"/>
      <c r="AK386" s="277"/>
      <c r="AL386" s="277"/>
      <c r="AM386" s="277"/>
      <c r="AN386" s="277"/>
      <c r="AO386" s="277"/>
      <c r="AP386" s="514"/>
      <c r="AQ386" s="277"/>
      <c r="AR386" s="514"/>
      <c r="AS386" s="515"/>
    </row>
    <row r="387" spans="3:45" s="516" customFormat="1" x14ac:dyDescent="0.25">
      <c r="C387" s="478"/>
      <c r="D387" s="478"/>
      <c r="E387" s="473"/>
      <c r="F387" s="473"/>
      <c r="G387" s="509"/>
      <c r="H387" s="478"/>
      <c r="I387" s="478"/>
      <c r="J387" s="478"/>
      <c r="K387" s="478"/>
      <c r="L387" s="478"/>
      <c r="M387" s="510"/>
      <c r="N387" s="510"/>
      <c r="O387" s="510"/>
      <c r="P387" s="511"/>
      <c r="Q387" s="510"/>
      <c r="R387" s="511"/>
      <c r="S387" s="478"/>
      <c r="T387" s="478"/>
      <c r="U387" s="478"/>
      <c r="V387" s="511"/>
      <c r="W387" s="512"/>
      <c r="X387" s="512"/>
      <c r="Y387" s="513"/>
      <c r="Z387" s="512"/>
      <c r="AA387" s="277"/>
      <c r="AB387" s="277"/>
      <c r="AC387" s="277"/>
      <c r="AD387" s="277"/>
      <c r="AE387" s="277"/>
      <c r="AF387" s="277"/>
      <c r="AG387" s="277"/>
      <c r="AH387" s="277"/>
      <c r="AI387" s="277"/>
      <c r="AJ387" s="277"/>
      <c r="AK387" s="277"/>
      <c r="AL387" s="277"/>
      <c r="AM387" s="277"/>
      <c r="AN387" s="277"/>
      <c r="AO387" s="277"/>
      <c r="AP387" s="514"/>
      <c r="AQ387" s="277"/>
      <c r="AR387" s="514"/>
      <c r="AS387" s="515"/>
    </row>
    <row r="388" spans="3:45" s="516" customFormat="1" x14ac:dyDescent="0.25">
      <c r="C388" s="478"/>
      <c r="D388" s="478"/>
      <c r="E388" s="473"/>
      <c r="F388" s="473"/>
      <c r="G388" s="509"/>
      <c r="H388" s="478"/>
      <c r="I388" s="478"/>
      <c r="J388" s="478"/>
      <c r="K388" s="478"/>
      <c r="L388" s="478"/>
      <c r="M388" s="510"/>
      <c r="N388" s="510"/>
      <c r="O388" s="510"/>
      <c r="P388" s="511"/>
      <c r="Q388" s="510"/>
      <c r="R388" s="511"/>
      <c r="S388" s="478"/>
      <c r="T388" s="478"/>
      <c r="U388" s="478"/>
      <c r="V388" s="511"/>
      <c r="W388" s="512"/>
      <c r="X388" s="512"/>
      <c r="Y388" s="513"/>
      <c r="Z388" s="512"/>
      <c r="AA388" s="277"/>
      <c r="AB388" s="277"/>
      <c r="AC388" s="277"/>
      <c r="AD388" s="277"/>
      <c r="AE388" s="277"/>
      <c r="AF388" s="277"/>
      <c r="AG388" s="277"/>
      <c r="AH388" s="277"/>
      <c r="AI388" s="277"/>
      <c r="AJ388" s="277"/>
      <c r="AK388" s="277"/>
      <c r="AL388" s="277"/>
      <c r="AM388" s="277"/>
      <c r="AN388" s="277"/>
      <c r="AO388" s="277"/>
      <c r="AP388" s="514"/>
      <c r="AQ388" s="277"/>
      <c r="AR388" s="514"/>
      <c r="AS388" s="515"/>
    </row>
    <row r="389" spans="3:45" s="516" customFormat="1" x14ac:dyDescent="0.25">
      <c r="C389" s="478"/>
      <c r="D389" s="478"/>
      <c r="E389" s="473"/>
      <c r="F389" s="473"/>
      <c r="G389" s="509"/>
      <c r="H389" s="478"/>
      <c r="I389" s="478"/>
      <c r="J389" s="478"/>
      <c r="K389" s="478"/>
      <c r="L389" s="478"/>
      <c r="M389" s="510"/>
      <c r="N389" s="510"/>
      <c r="O389" s="510"/>
      <c r="P389" s="511"/>
      <c r="Q389" s="510"/>
      <c r="R389" s="511"/>
      <c r="S389" s="478"/>
      <c r="T389" s="478"/>
      <c r="U389" s="478"/>
      <c r="V389" s="511"/>
      <c r="W389" s="512"/>
      <c r="X389" s="512"/>
      <c r="Y389" s="513"/>
      <c r="Z389" s="512"/>
      <c r="AA389" s="277"/>
      <c r="AB389" s="277"/>
      <c r="AC389" s="277"/>
      <c r="AD389" s="277"/>
      <c r="AE389" s="277"/>
      <c r="AF389" s="277"/>
      <c r="AG389" s="277"/>
      <c r="AH389" s="277"/>
      <c r="AI389" s="277"/>
      <c r="AJ389" s="277"/>
      <c r="AK389" s="277"/>
      <c r="AL389" s="277"/>
      <c r="AM389" s="277"/>
      <c r="AN389" s="277"/>
      <c r="AO389" s="277"/>
      <c r="AP389" s="514"/>
      <c r="AQ389" s="277"/>
      <c r="AR389" s="514"/>
      <c r="AS389" s="515"/>
    </row>
    <row r="390" spans="3:45" s="516" customFormat="1" x14ac:dyDescent="0.25">
      <c r="C390" s="478"/>
      <c r="D390" s="478"/>
      <c r="E390" s="473"/>
      <c r="F390" s="473"/>
      <c r="G390" s="509"/>
      <c r="H390" s="478"/>
      <c r="I390" s="478"/>
      <c r="J390" s="478"/>
      <c r="K390" s="478"/>
      <c r="L390" s="478"/>
      <c r="M390" s="510"/>
      <c r="N390" s="510"/>
      <c r="O390" s="510"/>
      <c r="P390" s="511"/>
      <c r="Q390" s="510"/>
      <c r="R390" s="511"/>
      <c r="S390" s="478"/>
      <c r="T390" s="478"/>
      <c r="U390" s="478"/>
      <c r="V390" s="511"/>
      <c r="W390" s="512"/>
      <c r="X390" s="512"/>
      <c r="Y390" s="513"/>
      <c r="Z390" s="512"/>
      <c r="AA390" s="277"/>
      <c r="AB390" s="277"/>
      <c r="AC390" s="277"/>
      <c r="AD390" s="277"/>
      <c r="AE390" s="277"/>
      <c r="AF390" s="277"/>
      <c r="AG390" s="277"/>
      <c r="AH390" s="277"/>
      <c r="AI390" s="277"/>
      <c r="AJ390" s="277"/>
      <c r="AK390" s="277"/>
      <c r="AL390" s="277"/>
      <c r="AM390" s="277"/>
      <c r="AN390" s="277"/>
      <c r="AO390" s="277"/>
      <c r="AP390" s="514"/>
      <c r="AQ390" s="277"/>
      <c r="AR390" s="514"/>
      <c r="AS390" s="515"/>
    </row>
    <row r="391" spans="3:45" s="516" customFormat="1" x14ac:dyDescent="0.25">
      <c r="C391" s="478"/>
      <c r="D391" s="478"/>
      <c r="E391" s="473"/>
      <c r="F391" s="473"/>
      <c r="G391" s="509"/>
      <c r="H391" s="478"/>
      <c r="I391" s="478"/>
      <c r="J391" s="478"/>
      <c r="K391" s="478"/>
      <c r="L391" s="478"/>
      <c r="M391" s="510"/>
      <c r="N391" s="510"/>
      <c r="O391" s="510"/>
      <c r="P391" s="511"/>
      <c r="Q391" s="510"/>
      <c r="R391" s="511"/>
      <c r="S391" s="478"/>
      <c r="T391" s="478"/>
      <c r="U391" s="478"/>
      <c r="V391" s="511"/>
      <c r="W391" s="512"/>
      <c r="X391" s="512"/>
      <c r="Y391" s="513"/>
      <c r="Z391" s="512"/>
      <c r="AA391" s="277"/>
      <c r="AB391" s="277"/>
      <c r="AC391" s="277"/>
      <c r="AD391" s="277"/>
      <c r="AE391" s="277"/>
      <c r="AF391" s="277"/>
      <c r="AG391" s="277"/>
      <c r="AH391" s="277"/>
      <c r="AI391" s="277"/>
      <c r="AJ391" s="277"/>
      <c r="AK391" s="277"/>
      <c r="AL391" s="277"/>
      <c r="AM391" s="277"/>
      <c r="AN391" s="277"/>
      <c r="AO391" s="277"/>
      <c r="AP391" s="514"/>
      <c r="AQ391" s="277"/>
      <c r="AR391" s="514"/>
      <c r="AS391" s="515"/>
    </row>
    <row r="392" spans="3:45" s="516" customFormat="1" x14ac:dyDescent="0.25">
      <c r="C392" s="478"/>
      <c r="D392" s="478"/>
      <c r="E392" s="473"/>
      <c r="F392" s="473"/>
      <c r="G392" s="509"/>
      <c r="H392" s="478"/>
      <c r="I392" s="478"/>
      <c r="J392" s="478"/>
      <c r="K392" s="478"/>
      <c r="L392" s="478"/>
      <c r="M392" s="510"/>
      <c r="N392" s="510"/>
      <c r="O392" s="510"/>
      <c r="P392" s="511"/>
      <c r="Q392" s="510"/>
      <c r="R392" s="511"/>
      <c r="S392" s="478"/>
      <c r="T392" s="478"/>
      <c r="U392" s="478"/>
      <c r="V392" s="511"/>
      <c r="W392" s="512"/>
      <c r="X392" s="512"/>
      <c r="Y392" s="513"/>
      <c r="Z392" s="512"/>
      <c r="AA392" s="277"/>
      <c r="AB392" s="277"/>
      <c r="AC392" s="277"/>
      <c r="AD392" s="277"/>
      <c r="AE392" s="277"/>
      <c r="AF392" s="277"/>
      <c r="AG392" s="277"/>
      <c r="AH392" s="277"/>
      <c r="AI392" s="277"/>
      <c r="AJ392" s="277"/>
      <c r="AK392" s="277"/>
      <c r="AL392" s="277"/>
      <c r="AM392" s="277"/>
      <c r="AN392" s="277"/>
      <c r="AO392" s="277"/>
      <c r="AP392" s="514"/>
      <c r="AQ392" s="277"/>
      <c r="AR392" s="514"/>
      <c r="AS392" s="515"/>
    </row>
    <row r="393" spans="3:45" s="516" customFormat="1" x14ac:dyDescent="0.25">
      <c r="C393" s="478"/>
      <c r="D393" s="478"/>
      <c r="E393" s="473"/>
      <c r="F393" s="473"/>
      <c r="G393" s="509"/>
      <c r="H393" s="478"/>
      <c r="I393" s="478"/>
      <c r="J393" s="478"/>
      <c r="K393" s="478"/>
      <c r="L393" s="478"/>
      <c r="M393" s="510"/>
      <c r="N393" s="510"/>
      <c r="O393" s="510"/>
      <c r="P393" s="511"/>
      <c r="Q393" s="510"/>
      <c r="R393" s="511"/>
      <c r="S393" s="478"/>
      <c r="T393" s="478"/>
      <c r="U393" s="478"/>
      <c r="V393" s="511"/>
      <c r="W393" s="512"/>
      <c r="X393" s="512"/>
      <c r="Y393" s="513"/>
      <c r="Z393" s="512"/>
      <c r="AA393" s="277"/>
      <c r="AB393" s="277"/>
      <c r="AC393" s="277"/>
      <c r="AD393" s="277"/>
      <c r="AE393" s="277"/>
      <c r="AF393" s="277"/>
      <c r="AG393" s="277"/>
      <c r="AH393" s="277"/>
      <c r="AI393" s="277"/>
      <c r="AJ393" s="277"/>
      <c r="AK393" s="277"/>
      <c r="AL393" s="277"/>
      <c r="AM393" s="277"/>
      <c r="AN393" s="277"/>
      <c r="AO393" s="277"/>
      <c r="AP393" s="514"/>
      <c r="AQ393" s="277"/>
      <c r="AR393" s="514"/>
      <c r="AS393" s="515"/>
    </row>
    <row r="394" spans="3:45" s="516" customFormat="1" x14ac:dyDescent="0.25">
      <c r="C394" s="478"/>
      <c r="D394" s="478"/>
      <c r="E394" s="473"/>
      <c r="F394" s="473"/>
      <c r="G394" s="509"/>
      <c r="H394" s="478"/>
      <c r="I394" s="478"/>
      <c r="J394" s="478"/>
      <c r="K394" s="478"/>
      <c r="L394" s="478"/>
      <c r="M394" s="510"/>
      <c r="N394" s="510"/>
      <c r="O394" s="510"/>
      <c r="P394" s="511"/>
      <c r="Q394" s="510"/>
      <c r="R394" s="511"/>
      <c r="S394" s="478"/>
      <c r="T394" s="478"/>
      <c r="U394" s="478"/>
      <c r="V394" s="511"/>
      <c r="W394" s="512"/>
      <c r="X394" s="512"/>
      <c r="Y394" s="513"/>
      <c r="Z394" s="512"/>
      <c r="AA394" s="277"/>
      <c r="AB394" s="277"/>
      <c r="AC394" s="277"/>
      <c r="AD394" s="277"/>
      <c r="AE394" s="277"/>
      <c r="AF394" s="277"/>
      <c r="AG394" s="277"/>
      <c r="AH394" s="277"/>
      <c r="AI394" s="277"/>
      <c r="AJ394" s="277"/>
      <c r="AK394" s="277"/>
      <c r="AL394" s="277"/>
      <c r="AM394" s="277"/>
      <c r="AN394" s="277"/>
      <c r="AO394" s="277"/>
      <c r="AP394" s="514"/>
      <c r="AQ394" s="277"/>
      <c r="AR394" s="514"/>
      <c r="AS394" s="515"/>
    </row>
    <row r="395" spans="3:45" s="516" customFormat="1" x14ac:dyDescent="0.25">
      <c r="C395" s="478"/>
      <c r="D395" s="478"/>
      <c r="E395" s="473"/>
      <c r="F395" s="473"/>
      <c r="G395" s="509"/>
      <c r="H395" s="478"/>
      <c r="I395" s="478"/>
      <c r="J395" s="478"/>
      <c r="K395" s="478"/>
      <c r="L395" s="478"/>
      <c r="M395" s="510"/>
      <c r="N395" s="510"/>
      <c r="O395" s="510"/>
      <c r="P395" s="511"/>
      <c r="Q395" s="510"/>
      <c r="R395" s="511"/>
      <c r="S395" s="478"/>
      <c r="T395" s="478"/>
      <c r="U395" s="478"/>
      <c r="V395" s="511"/>
      <c r="W395" s="512"/>
      <c r="X395" s="512"/>
      <c r="Y395" s="513"/>
      <c r="Z395" s="512"/>
      <c r="AA395" s="277"/>
      <c r="AB395" s="277"/>
      <c r="AC395" s="277"/>
      <c r="AD395" s="277"/>
      <c r="AE395" s="277"/>
      <c r="AF395" s="277"/>
      <c r="AG395" s="277"/>
      <c r="AH395" s="277"/>
      <c r="AI395" s="277"/>
      <c r="AJ395" s="277"/>
      <c r="AK395" s="277"/>
      <c r="AL395" s="277"/>
      <c r="AM395" s="277"/>
      <c r="AN395" s="277"/>
      <c r="AO395" s="277"/>
      <c r="AP395" s="514"/>
      <c r="AQ395" s="277"/>
      <c r="AR395" s="514"/>
      <c r="AS395" s="515"/>
    </row>
    <row r="396" spans="3:45" s="516" customFormat="1" x14ac:dyDescent="0.25">
      <c r="C396" s="478"/>
      <c r="D396" s="478"/>
      <c r="E396" s="473"/>
      <c r="F396" s="473"/>
      <c r="G396" s="509"/>
      <c r="H396" s="478"/>
      <c r="I396" s="478"/>
      <c r="J396" s="478"/>
      <c r="K396" s="478"/>
      <c r="L396" s="478"/>
      <c r="M396" s="510"/>
      <c r="N396" s="510"/>
      <c r="O396" s="510"/>
      <c r="P396" s="511"/>
      <c r="Q396" s="510"/>
      <c r="R396" s="511"/>
      <c r="S396" s="478"/>
      <c r="T396" s="478"/>
      <c r="U396" s="478"/>
      <c r="V396" s="511"/>
      <c r="W396" s="512"/>
      <c r="X396" s="512"/>
      <c r="Y396" s="513"/>
      <c r="Z396" s="512"/>
      <c r="AA396" s="277"/>
      <c r="AB396" s="277"/>
      <c r="AC396" s="277"/>
      <c r="AD396" s="277"/>
      <c r="AE396" s="277"/>
      <c r="AF396" s="277"/>
      <c r="AG396" s="277"/>
      <c r="AH396" s="277"/>
      <c r="AI396" s="277"/>
      <c r="AJ396" s="277"/>
      <c r="AK396" s="277"/>
      <c r="AL396" s="277"/>
      <c r="AM396" s="277"/>
      <c r="AN396" s="277"/>
      <c r="AO396" s="277"/>
      <c r="AP396" s="514"/>
      <c r="AQ396" s="277"/>
      <c r="AR396" s="514"/>
      <c r="AS396" s="515"/>
    </row>
    <row r="397" spans="3:45" s="516" customFormat="1" x14ac:dyDescent="0.25">
      <c r="C397" s="478"/>
      <c r="D397" s="478"/>
      <c r="E397" s="473"/>
      <c r="F397" s="473"/>
      <c r="G397" s="509"/>
      <c r="H397" s="478"/>
      <c r="I397" s="478"/>
      <c r="J397" s="478"/>
      <c r="K397" s="478"/>
      <c r="L397" s="478"/>
      <c r="M397" s="510"/>
      <c r="N397" s="510"/>
      <c r="O397" s="510"/>
      <c r="P397" s="511"/>
      <c r="Q397" s="510"/>
      <c r="R397" s="511"/>
      <c r="S397" s="478"/>
      <c r="T397" s="478"/>
      <c r="U397" s="478"/>
      <c r="V397" s="511"/>
      <c r="W397" s="512"/>
      <c r="X397" s="512"/>
      <c r="Y397" s="513"/>
      <c r="Z397" s="512"/>
      <c r="AA397" s="277"/>
      <c r="AB397" s="277"/>
      <c r="AC397" s="277"/>
      <c r="AD397" s="277"/>
      <c r="AE397" s="277"/>
      <c r="AF397" s="277"/>
      <c r="AG397" s="277"/>
      <c r="AH397" s="277"/>
      <c r="AI397" s="277"/>
      <c r="AJ397" s="277"/>
      <c r="AK397" s="277"/>
      <c r="AL397" s="277"/>
      <c r="AM397" s="277"/>
      <c r="AN397" s="277"/>
      <c r="AO397" s="277"/>
      <c r="AP397" s="514"/>
      <c r="AQ397" s="277"/>
      <c r="AR397" s="514"/>
      <c r="AS397" s="515"/>
    </row>
    <row r="398" spans="3:45" s="516" customFormat="1" x14ac:dyDescent="0.25">
      <c r="C398" s="478"/>
      <c r="D398" s="478"/>
      <c r="E398" s="473"/>
      <c r="F398" s="473"/>
      <c r="G398" s="509"/>
      <c r="H398" s="478"/>
      <c r="I398" s="478"/>
      <c r="J398" s="478"/>
      <c r="K398" s="478"/>
      <c r="L398" s="478"/>
      <c r="M398" s="510"/>
      <c r="N398" s="510"/>
      <c r="O398" s="510"/>
      <c r="P398" s="511"/>
      <c r="Q398" s="510"/>
      <c r="R398" s="511"/>
      <c r="S398" s="478"/>
      <c r="T398" s="478"/>
      <c r="U398" s="478"/>
      <c r="V398" s="511"/>
      <c r="W398" s="512"/>
      <c r="X398" s="512"/>
      <c r="Y398" s="513"/>
      <c r="Z398" s="512"/>
      <c r="AA398" s="277"/>
      <c r="AB398" s="277"/>
      <c r="AC398" s="277"/>
      <c r="AD398" s="277"/>
      <c r="AE398" s="277"/>
      <c r="AF398" s="277"/>
      <c r="AG398" s="277"/>
      <c r="AH398" s="277"/>
      <c r="AI398" s="277"/>
      <c r="AJ398" s="277"/>
      <c r="AK398" s="277"/>
      <c r="AL398" s="277"/>
      <c r="AM398" s="277"/>
      <c r="AN398" s="277"/>
      <c r="AO398" s="277"/>
      <c r="AP398" s="514"/>
      <c r="AQ398" s="277"/>
      <c r="AR398" s="514"/>
      <c r="AS398" s="515"/>
    </row>
    <row r="399" spans="3:45" s="516" customFormat="1" x14ac:dyDescent="0.25">
      <c r="C399" s="478"/>
      <c r="D399" s="478"/>
      <c r="E399" s="473"/>
      <c r="F399" s="473"/>
      <c r="G399" s="509"/>
      <c r="H399" s="478"/>
      <c r="I399" s="478"/>
      <c r="J399" s="478"/>
      <c r="K399" s="478"/>
      <c r="L399" s="478"/>
      <c r="M399" s="510"/>
      <c r="N399" s="510"/>
      <c r="O399" s="510"/>
      <c r="P399" s="511"/>
      <c r="Q399" s="510"/>
      <c r="R399" s="511"/>
      <c r="S399" s="478"/>
      <c r="T399" s="478"/>
      <c r="U399" s="478"/>
      <c r="V399" s="511"/>
      <c r="W399" s="512"/>
      <c r="X399" s="512"/>
      <c r="Y399" s="513"/>
      <c r="Z399" s="512"/>
      <c r="AA399" s="277"/>
      <c r="AB399" s="277"/>
      <c r="AC399" s="277"/>
      <c r="AD399" s="277"/>
      <c r="AE399" s="277"/>
      <c r="AF399" s="277"/>
      <c r="AG399" s="277"/>
      <c r="AH399" s="277"/>
      <c r="AI399" s="277"/>
      <c r="AJ399" s="277"/>
      <c r="AK399" s="277"/>
      <c r="AL399" s="277"/>
      <c r="AM399" s="277"/>
      <c r="AN399" s="277"/>
      <c r="AO399" s="277"/>
      <c r="AP399" s="514"/>
      <c r="AQ399" s="277"/>
      <c r="AR399" s="514"/>
      <c r="AS399" s="515"/>
    </row>
    <row r="400" spans="3:45" s="516" customFormat="1" x14ac:dyDescent="0.25">
      <c r="C400" s="478"/>
      <c r="D400" s="478"/>
      <c r="E400" s="473"/>
      <c r="F400" s="473"/>
      <c r="G400" s="509"/>
      <c r="H400" s="478"/>
      <c r="I400" s="478"/>
      <c r="J400" s="478"/>
      <c r="K400" s="478"/>
      <c r="L400" s="478"/>
      <c r="M400" s="510"/>
      <c r="N400" s="510"/>
      <c r="O400" s="510"/>
      <c r="P400" s="511"/>
      <c r="Q400" s="510"/>
      <c r="R400" s="511"/>
      <c r="S400" s="478"/>
      <c r="T400" s="478"/>
      <c r="U400" s="478"/>
      <c r="V400" s="511"/>
      <c r="W400" s="512"/>
      <c r="X400" s="512"/>
      <c r="Y400" s="513"/>
      <c r="Z400" s="512"/>
      <c r="AA400" s="277"/>
      <c r="AB400" s="277"/>
      <c r="AC400" s="277"/>
      <c r="AD400" s="277"/>
      <c r="AE400" s="277"/>
      <c r="AF400" s="277"/>
      <c r="AG400" s="277"/>
      <c r="AH400" s="277"/>
      <c r="AI400" s="277"/>
      <c r="AJ400" s="277"/>
      <c r="AK400" s="277"/>
      <c r="AL400" s="277"/>
      <c r="AM400" s="277"/>
      <c r="AN400" s="277"/>
      <c r="AO400" s="277"/>
      <c r="AP400" s="514"/>
      <c r="AQ400" s="277"/>
      <c r="AR400" s="514"/>
      <c r="AS400" s="515"/>
    </row>
    <row r="401" spans="3:45" s="516" customFormat="1" x14ac:dyDescent="0.25">
      <c r="C401" s="478"/>
      <c r="D401" s="478"/>
      <c r="E401" s="473"/>
      <c r="F401" s="473"/>
      <c r="G401" s="509"/>
      <c r="H401" s="478"/>
      <c r="I401" s="478"/>
      <c r="J401" s="478"/>
      <c r="K401" s="478"/>
      <c r="L401" s="478"/>
      <c r="M401" s="510"/>
      <c r="N401" s="510"/>
      <c r="O401" s="510"/>
      <c r="P401" s="511"/>
      <c r="Q401" s="510"/>
      <c r="R401" s="511"/>
      <c r="S401" s="478"/>
      <c r="T401" s="478"/>
      <c r="U401" s="478"/>
      <c r="V401" s="511"/>
      <c r="W401" s="512"/>
      <c r="X401" s="512"/>
      <c r="Y401" s="513"/>
      <c r="Z401" s="512"/>
      <c r="AA401" s="277"/>
      <c r="AB401" s="277"/>
      <c r="AC401" s="277"/>
      <c r="AD401" s="277"/>
      <c r="AE401" s="277"/>
      <c r="AF401" s="277"/>
      <c r="AG401" s="277"/>
      <c r="AH401" s="277"/>
      <c r="AI401" s="277"/>
      <c r="AJ401" s="277"/>
      <c r="AK401" s="277"/>
      <c r="AL401" s="277"/>
      <c r="AM401" s="277"/>
      <c r="AN401" s="277"/>
      <c r="AO401" s="277"/>
      <c r="AP401" s="514"/>
      <c r="AQ401" s="277"/>
      <c r="AR401" s="514"/>
      <c r="AS401" s="515"/>
    </row>
    <row r="402" spans="3:45" s="516" customFormat="1" x14ac:dyDescent="0.25">
      <c r="C402" s="478"/>
      <c r="D402" s="478"/>
      <c r="E402" s="473"/>
      <c r="F402" s="473"/>
      <c r="G402" s="509"/>
      <c r="H402" s="478"/>
      <c r="I402" s="478"/>
      <c r="J402" s="478"/>
      <c r="K402" s="478"/>
      <c r="L402" s="478"/>
      <c r="M402" s="510"/>
      <c r="N402" s="510"/>
      <c r="O402" s="510"/>
      <c r="P402" s="511"/>
      <c r="Q402" s="510"/>
      <c r="R402" s="511"/>
      <c r="S402" s="478"/>
      <c r="T402" s="478"/>
      <c r="U402" s="478"/>
      <c r="V402" s="511"/>
      <c r="W402" s="512"/>
      <c r="X402" s="512"/>
      <c r="Y402" s="513"/>
      <c r="Z402" s="512"/>
      <c r="AA402" s="277"/>
      <c r="AB402" s="277"/>
      <c r="AC402" s="277"/>
      <c r="AD402" s="277"/>
      <c r="AE402" s="277"/>
      <c r="AF402" s="277"/>
      <c r="AG402" s="277"/>
      <c r="AH402" s="277"/>
      <c r="AI402" s="277"/>
      <c r="AJ402" s="277"/>
      <c r="AK402" s="277"/>
      <c r="AL402" s="277"/>
      <c r="AM402" s="277"/>
      <c r="AN402" s="277"/>
      <c r="AO402" s="277"/>
      <c r="AP402" s="514"/>
      <c r="AQ402" s="277"/>
      <c r="AR402" s="514"/>
      <c r="AS402" s="515"/>
    </row>
    <row r="403" spans="3:45" s="516" customFormat="1" x14ac:dyDescent="0.25">
      <c r="C403" s="478"/>
      <c r="D403" s="478"/>
      <c r="E403" s="473"/>
      <c r="F403" s="473"/>
      <c r="G403" s="509"/>
      <c r="H403" s="478"/>
      <c r="I403" s="478"/>
      <c r="J403" s="478"/>
      <c r="K403" s="478"/>
      <c r="L403" s="478"/>
      <c r="M403" s="510"/>
      <c r="N403" s="510"/>
      <c r="O403" s="510"/>
      <c r="P403" s="511"/>
      <c r="Q403" s="510"/>
      <c r="R403" s="511"/>
      <c r="S403" s="478"/>
      <c r="T403" s="478"/>
      <c r="U403" s="478"/>
      <c r="V403" s="511"/>
      <c r="W403" s="512"/>
      <c r="X403" s="512"/>
      <c r="Y403" s="513"/>
      <c r="Z403" s="512"/>
      <c r="AA403" s="277"/>
      <c r="AB403" s="277"/>
      <c r="AC403" s="277"/>
      <c r="AD403" s="277"/>
      <c r="AE403" s="277"/>
      <c r="AF403" s="277"/>
      <c r="AG403" s="277"/>
      <c r="AH403" s="277"/>
      <c r="AI403" s="277"/>
      <c r="AJ403" s="277"/>
      <c r="AK403" s="277"/>
      <c r="AL403" s="277"/>
      <c r="AM403" s="277"/>
      <c r="AN403" s="277"/>
      <c r="AO403" s="277"/>
      <c r="AP403" s="514"/>
      <c r="AQ403" s="277"/>
      <c r="AR403" s="514"/>
      <c r="AS403" s="515"/>
    </row>
    <row r="404" spans="3:45" s="516" customFormat="1" x14ac:dyDescent="0.25">
      <c r="C404" s="478"/>
      <c r="D404" s="478"/>
      <c r="E404" s="473"/>
      <c r="F404" s="473"/>
      <c r="G404" s="509"/>
      <c r="H404" s="478"/>
      <c r="I404" s="478"/>
      <c r="J404" s="478"/>
      <c r="K404" s="478"/>
      <c r="L404" s="478"/>
      <c r="M404" s="510"/>
      <c r="N404" s="510"/>
      <c r="O404" s="510"/>
      <c r="P404" s="511"/>
      <c r="Q404" s="510"/>
      <c r="R404" s="511"/>
      <c r="S404" s="478"/>
      <c r="T404" s="478"/>
      <c r="U404" s="478"/>
      <c r="V404" s="511"/>
      <c r="W404" s="512"/>
      <c r="X404" s="512"/>
      <c r="Y404" s="513"/>
      <c r="Z404" s="512"/>
      <c r="AA404" s="277"/>
      <c r="AB404" s="277"/>
      <c r="AC404" s="277"/>
      <c r="AD404" s="277"/>
      <c r="AE404" s="277"/>
      <c r="AF404" s="277"/>
      <c r="AG404" s="277"/>
      <c r="AH404" s="277"/>
      <c r="AI404" s="277"/>
      <c r="AJ404" s="277"/>
      <c r="AK404" s="277"/>
      <c r="AL404" s="277"/>
      <c r="AM404" s="277"/>
      <c r="AN404" s="277"/>
      <c r="AO404" s="277"/>
      <c r="AP404" s="514"/>
      <c r="AQ404" s="277"/>
      <c r="AR404" s="514"/>
      <c r="AS404" s="515"/>
    </row>
    <row r="405" spans="3:45" s="516" customFormat="1" x14ac:dyDescent="0.25">
      <c r="C405" s="478"/>
      <c r="D405" s="478"/>
      <c r="E405" s="473"/>
      <c r="F405" s="473"/>
      <c r="G405" s="509"/>
      <c r="H405" s="478"/>
      <c r="I405" s="478"/>
      <c r="J405" s="478"/>
      <c r="K405" s="478"/>
      <c r="L405" s="478"/>
      <c r="M405" s="510"/>
      <c r="N405" s="510"/>
      <c r="O405" s="510"/>
      <c r="P405" s="511"/>
      <c r="Q405" s="510"/>
      <c r="R405" s="511"/>
      <c r="S405" s="478"/>
      <c r="T405" s="478"/>
      <c r="U405" s="478"/>
      <c r="V405" s="511"/>
      <c r="W405" s="512"/>
      <c r="X405" s="512"/>
      <c r="Y405" s="513"/>
      <c r="Z405" s="512"/>
      <c r="AA405" s="277"/>
      <c r="AB405" s="277"/>
      <c r="AC405" s="277"/>
      <c r="AD405" s="277"/>
      <c r="AE405" s="277"/>
      <c r="AF405" s="277"/>
      <c r="AG405" s="277"/>
      <c r="AH405" s="277"/>
      <c r="AI405" s="277"/>
      <c r="AJ405" s="277"/>
      <c r="AK405" s="277"/>
      <c r="AL405" s="277"/>
      <c r="AM405" s="277"/>
      <c r="AN405" s="277"/>
      <c r="AO405" s="277"/>
      <c r="AP405" s="514"/>
      <c r="AQ405" s="277"/>
      <c r="AR405" s="514"/>
      <c r="AS405" s="515"/>
    </row>
    <row r="406" spans="3:45" s="516" customFormat="1" x14ac:dyDescent="0.25">
      <c r="C406" s="478"/>
      <c r="D406" s="478"/>
      <c r="E406" s="473"/>
      <c r="F406" s="473"/>
      <c r="G406" s="509"/>
      <c r="H406" s="478"/>
      <c r="I406" s="478"/>
      <c r="J406" s="478"/>
      <c r="K406" s="478"/>
      <c r="L406" s="478"/>
      <c r="M406" s="510"/>
      <c r="N406" s="510"/>
      <c r="O406" s="510"/>
      <c r="P406" s="511"/>
      <c r="Q406" s="510"/>
      <c r="R406" s="511"/>
      <c r="S406" s="478"/>
      <c r="T406" s="478"/>
      <c r="U406" s="478"/>
      <c r="V406" s="511"/>
      <c r="W406" s="512"/>
      <c r="X406" s="512"/>
      <c r="Y406" s="513"/>
      <c r="Z406" s="512"/>
      <c r="AA406" s="277"/>
      <c r="AB406" s="277"/>
      <c r="AC406" s="277"/>
      <c r="AD406" s="277"/>
      <c r="AE406" s="277"/>
      <c r="AF406" s="277"/>
      <c r="AG406" s="277"/>
      <c r="AH406" s="277"/>
      <c r="AI406" s="277"/>
      <c r="AJ406" s="277"/>
      <c r="AK406" s="277"/>
      <c r="AL406" s="277"/>
      <c r="AM406" s="277"/>
      <c r="AN406" s="277"/>
      <c r="AO406" s="277"/>
      <c r="AP406" s="514"/>
      <c r="AQ406" s="277"/>
      <c r="AR406" s="514"/>
      <c r="AS406" s="515"/>
    </row>
    <row r="407" spans="3:45" s="516" customFormat="1" x14ac:dyDescent="0.25">
      <c r="C407" s="478"/>
      <c r="D407" s="478"/>
      <c r="E407" s="473"/>
      <c r="F407" s="473"/>
      <c r="G407" s="509"/>
      <c r="H407" s="478"/>
      <c r="I407" s="478"/>
      <c r="J407" s="478"/>
      <c r="K407" s="478"/>
      <c r="L407" s="478"/>
      <c r="M407" s="510"/>
      <c r="N407" s="510"/>
      <c r="O407" s="510"/>
      <c r="P407" s="511"/>
      <c r="Q407" s="510"/>
      <c r="R407" s="511"/>
      <c r="S407" s="478"/>
      <c r="T407" s="478"/>
      <c r="U407" s="478"/>
      <c r="V407" s="511"/>
      <c r="W407" s="512"/>
      <c r="X407" s="512"/>
      <c r="Y407" s="513"/>
      <c r="Z407" s="512"/>
      <c r="AA407" s="277"/>
      <c r="AB407" s="277"/>
      <c r="AC407" s="277"/>
      <c r="AD407" s="277"/>
      <c r="AE407" s="277"/>
      <c r="AF407" s="277"/>
      <c r="AG407" s="277"/>
      <c r="AH407" s="277"/>
      <c r="AI407" s="277"/>
      <c r="AJ407" s="277"/>
      <c r="AK407" s="277"/>
      <c r="AL407" s="277"/>
      <c r="AM407" s="277"/>
      <c r="AN407" s="277"/>
      <c r="AO407" s="277"/>
      <c r="AP407" s="514"/>
      <c r="AQ407" s="277"/>
      <c r="AR407" s="514"/>
      <c r="AS407" s="515"/>
    </row>
    <row r="408" spans="3:45" s="516" customFormat="1" x14ac:dyDescent="0.25">
      <c r="C408" s="478"/>
      <c r="D408" s="478"/>
      <c r="E408" s="473"/>
      <c r="F408" s="473"/>
      <c r="G408" s="509"/>
      <c r="H408" s="478"/>
      <c r="I408" s="478"/>
      <c r="J408" s="478"/>
      <c r="K408" s="478"/>
      <c r="L408" s="478"/>
      <c r="M408" s="510"/>
      <c r="N408" s="510"/>
      <c r="O408" s="510"/>
      <c r="P408" s="511"/>
      <c r="Q408" s="510"/>
      <c r="R408" s="511"/>
      <c r="S408" s="478"/>
      <c r="T408" s="478"/>
      <c r="U408" s="478"/>
      <c r="V408" s="511"/>
      <c r="W408" s="512"/>
      <c r="X408" s="512"/>
      <c r="Y408" s="513"/>
      <c r="Z408" s="512"/>
      <c r="AA408" s="277"/>
      <c r="AB408" s="277"/>
      <c r="AC408" s="277"/>
      <c r="AD408" s="277"/>
      <c r="AE408" s="277"/>
      <c r="AF408" s="277"/>
      <c r="AG408" s="277"/>
      <c r="AH408" s="277"/>
      <c r="AI408" s="277"/>
      <c r="AJ408" s="277"/>
      <c r="AK408" s="277"/>
      <c r="AL408" s="277"/>
      <c r="AM408" s="277"/>
      <c r="AN408" s="277"/>
      <c r="AO408" s="277"/>
      <c r="AP408" s="514"/>
      <c r="AQ408" s="277"/>
      <c r="AR408" s="514"/>
      <c r="AS408" s="515"/>
    </row>
    <row r="409" spans="3:45" s="516" customFormat="1" x14ac:dyDescent="0.25">
      <c r="C409" s="478"/>
      <c r="D409" s="478"/>
      <c r="E409" s="473"/>
      <c r="F409" s="473"/>
      <c r="G409" s="509"/>
      <c r="H409" s="478"/>
      <c r="I409" s="478"/>
      <c r="J409" s="478"/>
      <c r="K409" s="478"/>
      <c r="L409" s="478"/>
      <c r="M409" s="510"/>
      <c r="N409" s="510"/>
      <c r="O409" s="510"/>
      <c r="P409" s="511"/>
      <c r="Q409" s="510"/>
      <c r="R409" s="511"/>
      <c r="S409" s="478"/>
      <c r="T409" s="478"/>
      <c r="U409" s="478"/>
      <c r="V409" s="511"/>
      <c r="W409" s="512"/>
      <c r="X409" s="512"/>
      <c r="Y409" s="513"/>
      <c r="Z409" s="512"/>
      <c r="AA409" s="277"/>
      <c r="AB409" s="277"/>
      <c r="AC409" s="277"/>
      <c r="AD409" s="277"/>
      <c r="AE409" s="277"/>
      <c r="AF409" s="277"/>
      <c r="AG409" s="277"/>
      <c r="AH409" s="277"/>
      <c r="AI409" s="277"/>
      <c r="AJ409" s="277"/>
      <c r="AK409" s="277"/>
      <c r="AL409" s="277"/>
      <c r="AM409" s="277"/>
      <c r="AN409" s="277"/>
      <c r="AO409" s="277"/>
      <c r="AP409" s="514"/>
      <c r="AQ409" s="277"/>
      <c r="AR409" s="514"/>
      <c r="AS409" s="515"/>
    </row>
    <row r="410" spans="3:45" s="516" customFormat="1" x14ac:dyDescent="0.25">
      <c r="C410" s="478"/>
      <c r="D410" s="478"/>
      <c r="E410" s="473"/>
      <c r="F410" s="473"/>
      <c r="G410" s="509"/>
      <c r="H410" s="478"/>
      <c r="I410" s="478"/>
      <c r="J410" s="478"/>
      <c r="K410" s="478"/>
      <c r="L410" s="478"/>
      <c r="M410" s="510"/>
      <c r="N410" s="510"/>
      <c r="O410" s="510"/>
      <c r="P410" s="511"/>
      <c r="Q410" s="510"/>
      <c r="R410" s="511"/>
      <c r="S410" s="478"/>
      <c r="T410" s="478"/>
      <c r="U410" s="478"/>
      <c r="V410" s="511"/>
      <c r="W410" s="512"/>
      <c r="X410" s="512"/>
      <c r="Y410" s="513"/>
      <c r="Z410" s="512"/>
      <c r="AA410" s="277"/>
      <c r="AB410" s="277"/>
      <c r="AC410" s="277"/>
      <c r="AD410" s="277"/>
      <c r="AE410" s="277"/>
      <c r="AF410" s="277"/>
      <c r="AG410" s="277"/>
      <c r="AH410" s="277"/>
      <c r="AI410" s="277"/>
      <c r="AJ410" s="277"/>
      <c r="AK410" s="277"/>
      <c r="AL410" s="277"/>
      <c r="AM410" s="277"/>
      <c r="AN410" s="277"/>
      <c r="AO410" s="277"/>
      <c r="AP410" s="514"/>
      <c r="AQ410" s="277"/>
      <c r="AR410" s="514"/>
      <c r="AS410" s="515"/>
    </row>
    <row r="411" spans="3:45" s="516" customFormat="1" x14ac:dyDescent="0.25">
      <c r="C411" s="478"/>
      <c r="D411" s="478"/>
      <c r="E411" s="473"/>
      <c r="F411" s="473"/>
      <c r="G411" s="509"/>
      <c r="H411" s="478"/>
      <c r="I411" s="478"/>
      <c r="J411" s="478"/>
      <c r="K411" s="478"/>
      <c r="L411" s="478"/>
      <c r="M411" s="510"/>
      <c r="N411" s="510"/>
      <c r="O411" s="510"/>
      <c r="P411" s="511"/>
      <c r="Q411" s="510"/>
      <c r="R411" s="511"/>
      <c r="S411" s="478"/>
      <c r="T411" s="478"/>
      <c r="U411" s="478"/>
      <c r="V411" s="511"/>
      <c r="W411" s="512"/>
      <c r="X411" s="512"/>
      <c r="Y411" s="513"/>
      <c r="Z411" s="512"/>
      <c r="AA411" s="277"/>
      <c r="AB411" s="277"/>
      <c r="AC411" s="277"/>
      <c r="AD411" s="277"/>
      <c r="AE411" s="277"/>
      <c r="AF411" s="277"/>
      <c r="AG411" s="277"/>
      <c r="AH411" s="277"/>
      <c r="AI411" s="277"/>
      <c r="AJ411" s="277"/>
      <c r="AK411" s="277"/>
      <c r="AL411" s="277"/>
      <c r="AM411" s="277"/>
      <c r="AN411" s="277"/>
      <c r="AO411" s="277"/>
      <c r="AP411" s="514"/>
      <c r="AQ411" s="277"/>
      <c r="AR411" s="514"/>
      <c r="AS411" s="515"/>
    </row>
    <row r="412" spans="3:45" s="516" customFormat="1" x14ac:dyDescent="0.25">
      <c r="C412" s="478"/>
      <c r="D412" s="478"/>
      <c r="E412" s="473"/>
      <c r="F412" s="473"/>
      <c r="G412" s="509"/>
      <c r="H412" s="478"/>
      <c r="I412" s="478"/>
      <c r="J412" s="478"/>
      <c r="K412" s="478"/>
      <c r="L412" s="478"/>
      <c r="M412" s="510"/>
      <c r="N412" s="510"/>
      <c r="O412" s="510"/>
      <c r="P412" s="511"/>
      <c r="Q412" s="510"/>
      <c r="R412" s="511"/>
      <c r="S412" s="478"/>
      <c r="T412" s="478"/>
      <c r="U412" s="478"/>
      <c r="V412" s="511"/>
      <c r="W412" s="512"/>
      <c r="X412" s="512"/>
      <c r="Y412" s="513"/>
      <c r="Z412" s="512"/>
      <c r="AA412" s="277"/>
      <c r="AB412" s="277"/>
      <c r="AC412" s="277"/>
      <c r="AD412" s="277"/>
      <c r="AE412" s="277"/>
      <c r="AF412" s="277"/>
      <c r="AG412" s="277"/>
      <c r="AH412" s="277"/>
      <c r="AI412" s="277"/>
      <c r="AJ412" s="277"/>
      <c r="AK412" s="277"/>
      <c r="AL412" s="277"/>
      <c r="AM412" s="277"/>
      <c r="AN412" s="277"/>
      <c r="AO412" s="277"/>
      <c r="AP412" s="514"/>
      <c r="AQ412" s="277"/>
      <c r="AR412" s="514"/>
      <c r="AS412" s="515"/>
    </row>
    <row r="413" spans="3:45" s="516" customFormat="1" x14ac:dyDescent="0.25">
      <c r="C413" s="478"/>
      <c r="D413" s="478"/>
      <c r="E413" s="473"/>
      <c r="F413" s="473"/>
      <c r="G413" s="509"/>
      <c r="H413" s="478"/>
      <c r="I413" s="478"/>
      <c r="J413" s="478"/>
      <c r="K413" s="478"/>
      <c r="L413" s="478"/>
      <c r="M413" s="510"/>
      <c r="N413" s="510"/>
      <c r="O413" s="510"/>
      <c r="P413" s="511"/>
      <c r="Q413" s="510"/>
      <c r="R413" s="511"/>
      <c r="S413" s="478"/>
      <c r="T413" s="478"/>
      <c r="U413" s="478"/>
      <c r="V413" s="511"/>
      <c r="W413" s="512"/>
      <c r="X413" s="512"/>
      <c r="Y413" s="513"/>
      <c r="Z413" s="512"/>
      <c r="AA413" s="277"/>
      <c r="AB413" s="277"/>
      <c r="AC413" s="277"/>
      <c r="AD413" s="277"/>
      <c r="AE413" s="277"/>
      <c r="AF413" s="277"/>
      <c r="AG413" s="277"/>
      <c r="AH413" s="277"/>
      <c r="AI413" s="277"/>
      <c r="AJ413" s="277"/>
      <c r="AK413" s="277"/>
      <c r="AL413" s="277"/>
      <c r="AM413" s="277"/>
      <c r="AN413" s="277"/>
      <c r="AO413" s="277"/>
      <c r="AP413" s="514"/>
      <c r="AQ413" s="277"/>
      <c r="AR413" s="514"/>
      <c r="AS413" s="515"/>
    </row>
    <row r="414" spans="3:45" s="516" customFormat="1" x14ac:dyDescent="0.25">
      <c r="C414" s="478"/>
      <c r="D414" s="478"/>
      <c r="E414" s="473"/>
      <c r="F414" s="473"/>
      <c r="G414" s="509"/>
      <c r="H414" s="478"/>
      <c r="I414" s="478"/>
      <c r="J414" s="478"/>
      <c r="K414" s="478"/>
      <c r="L414" s="478"/>
      <c r="M414" s="510"/>
      <c r="N414" s="510"/>
      <c r="O414" s="510"/>
      <c r="P414" s="511"/>
      <c r="Q414" s="510"/>
      <c r="R414" s="511"/>
      <c r="S414" s="478"/>
      <c r="T414" s="478"/>
      <c r="U414" s="478"/>
      <c r="V414" s="511"/>
      <c r="W414" s="512"/>
      <c r="X414" s="512"/>
      <c r="Y414" s="513"/>
      <c r="Z414" s="512"/>
      <c r="AA414" s="277"/>
      <c r="AB414" s="277"/>
      <c r="AC414" s="277"/>
      <c r="AD414" s="277"/>
      <c r="AE414" s="277"/>
      <c r="AF414" s="277"/>
      <c r="AG414" s="277"/>
      <c r="AH414" s="277"/>
      <c r="AI414" s="277"/>
      <c r="AJ414" s="277"/>
      <c r="AK414" s="277"/>
      <c r="AL414" s="277"/>
      <c r="AM414" s="277"/>
      <c r="AN414" s="277"/>
      <c r="AO414" s="277"/>
      <c r="AP414" s="514"/>
      <c r="AQ414" s="277"/>
      <c r="AR414" s="514"/>
      <c r="AS414" s="515"/>
    </row>
    <row r="415" spans="3:45" s="516" customFormat="1" x14ac:dyDescent="0.25">
      <c r="C415" s="478"/>
      <c r="D415" s="478"/>
      <c r="E415" s="473"/>
      <c r="F415" s="473"/>
      <c r="G415" s="509"/>
      <c r="H415" s="478"/>
      <c r="I415" s="478"/>
      <c r="J415" s="478"/>
      <c r="K415" s="478"/>
      <c r="L415" s="478"/>
      <c r="M415" s="510"/>
      <c r="N415" s="510"/>
      <c r="O415" s="510"/>
      <c r="P415" s="511"/>
      <c r="Q415" s="510"/>
      <c r="R415" s="511"/>
      <c r="S415" s="478"/>
      <c r="T415" s="478"/>
      <c r="U415" s="478"/>
      <c r="V415" s="511"/>
      <c r="W415" s="512"/>
      <c r="X415" s="512"/>
      <c r="Y415" s="513"/>
      <c r="Z415" s="512"/>
      <c r="AA415" s="277"/>
      <c r="AB415" s="277"/>
      <c r="AC415" s="277"/>
      <c r="AD415" s="277"/>
      <c r="AE415" s="277"/>
      <c r="AF415" s="277"/>
      <c r="AG415" s="277"/>
      <c r="AH415" s="277"/>
      <c r="AI415" s="277"/>
      <c r="AJ415" s="277"/>
      <c r="AK415" s="277"/>
      <c r="AL415" s="277"/>
      <c r="AM415" s="277"/>
      <c r="AN415" s="277"/>
      <c r="AO415" s="277"/>
      <c r="AP415" s="514"/>
      <c r="AQ415" s="277"/>
      <c r="AR415" s="514"/>
      <c r="AS415" s="515"/>
    </row>
    <row r="416" spans="3:45" s="516" customFormat="1" x14ac:dyDescent="0.25">
      <c r="C416" s="478"/>
      <c r="D416" s="478"/>
      <c r="E416" s="473"/>
      <c r="F416" s="473"/>
      <c r="G416" s="509"/>
      <c r="H416" s="478"/>
      <c r="I416" s="478"/>
      <c r="J416" s="478"/>
      <c r="K416" s="478"/>
      <c r="L416" s="478"/>
      <c r="M416" s="510"/>
      <c r="N416" s="510"/>
      <c r="O416" s="510"/>
      <c r="P416" s="511"/>
      <c r="Q416" s="510"/>
      <c r="R416" s="511"/>
      <c r="S416" s="478"/>
      <c r="T416" s="478"/>
      <c r="U416" s="478"/>
      <c r="V416" s="511"/>
      <c r="W416" s="512"/>
      <c r="X416" s="512"/>
      <c r="Y416" s="513"/>
      <c r="Z416" s="512"/>
      <c r="AA416" s="277"/>
      <c r="AB416" s="277"/>
      <c r="AC416" s="277"/>
      <c r="AD416" s="277"/>
      <c r="AE416" s="277"/>
      <c r="AF416" s="277"/>
      <c r="AG416" s="277"/>
      <c r="AH416" s="277"/>
      <c r="AI416" s="277"/>
      <c r="AJ416" s="277"/>
      <c r="AK416" s="277"/>
      <c r="AL416" s="277"/>
      <c r="AM416" s="277"/>
      <c r="AN416" s="277"/>
      <c r="AO416" s="277"/>
      <c r="AP416" s="514"/>
      <c r="AQ416" s="277"/>
      <c r="AR416" s="514"/>
      <c r="AS416" s="515"/>
    </row>
    <row r="417" spans="3:45" s="516" customFormat="1" x14ac:dyDescent="0.25">
      <c r="C417" s="478"/>
      <c r="D417" s="478"/>
      <c r="E417" s="473"/>
      <c r="F417" s="473"/>
      <c r="G417" s="509"/>
      <c r="H417" s="478"/>
      <c r="I417" s="478"/>
      <c r="J417" s="478"/>
      <c r="K417" s="478"/>
      <c r="L417" s="478"/>
      <c r="M417" s="510"/>
      <c r="N417" s="510"/>
      <c r="O417" s="510"/>
      <c r="P417" s="511"/>
      <c r="Q417" s="510"/>
      <c r="R417" s="511"/>
      <c r="S417" s="478"/>
      <c r="T417" s="478"/>
      <c r="U417" s="478"/>
      <c r="V417" s="511"/>
      <c r="W417" s="512"/>
      <c r="X417" s="512"/>
      <c r="Y417" s="513"/>
      <c r="Z417" s="512"/>
      <c r="AA417" s="277"/>
      <c r="AB417" s="277"/>
      <c r="AC417" s="277"/>
      <c r="AD417" s="277"/>
      <c r="AE417" s="277"/>
      <c r="AF417" s="277"/>
      <c r="AG417" s="277"/>
      <c r="AH417" s="277"/>
      <c r="AI417" s="277"/>
      <c r="AJ417" s="277"/>
      <c r="AK417" s="277"/>
      <c r="AL417" s="277"/>
      <c r="AM417" s="277"/>
      <c r="AN417" s="277"/>
      <c r="AO417" s="277"/>
      <c r="AP417" s="514"/>
      <c r="AQ417" s="277"/>
      <c r="AR417" s="514"/>
      <c r="AS417" s="515"/>
    </row>
    <row r="418" spans="3:45" s="516" customFormat="1" x14ac:dyDescent="0.25">
      <c r="C418" s="478"/>
      <c r="D418" s="478"/>
      <c r="E418" s="473"/>
      <c r="F418" s="473"/>
      <c r="G418" s="509"/>
      <c r="H418" s="478"/>
      <c r="I418" s="478"/>
      <c r="J418" s="478"/>
      <c r="K418" s="478"/>
      <c r="L418" s="478"/>
      <c r="M418" s="510"/>
      <c r="N418" s="510"/>
      <c r="O418" s="510"/>
      <c r="P418" s="511"/>
      <c r="Q418" s="510"/>
      <c r="R418" s="511"/>
      <c r="S418" s="478"/>
      <c r="T418" s="478"/>
      <c r="U418" s="478"/>
      <c r="V418" s="511"/>
      <c r="W418" s="512"/>
      <c r="X418" s="512"/>
      <c r="Y418" s="513"/>
      <c r="Z418" s="512"/>
      <c r="AA418" s="277"/>
      <c r="AB418" s="277"/>
      <c r="AC418" s="277"/>
      <c r="AD418" s="277"/>
      <c r="AE418" s="277"/>
      <c r="AF418" s="277"/>
      <c r="AG418" s="277"/>
      <c r="AH418" s="277"/>
      <c r="AI418" s="277"/>
      <c r="AJ418" s="277"/>
      <c r="AK418" s="277"/>
      <c r="AL418" s="277"/>
      <c r="AM418" s="277"/>
      <c r="AN418" s="277"/>
      <c r="AO418" s="277"/>
      <c r="AP418" s="514"/>
      <c r="AQ418" s="277"/>
      <c r="AR418" s="514"/>
      <c r="AS418" s="515"/>
    </row>
    <row r="419" spans="3:45" s="516" customFormat="1" x14ac:dyDescent="0.25">
      <c r="C419" s="478"/>
      <c r="D419" s="478"/>
      <c r="E419" s="473"/>
      <c r="F419" s="473"/>
      <c r="G419" s="509"/>
      <c r="H419" s="478"/>
      <c r="I419" s="478"/>
      <c r="J419" s="478"/>
      <c r="K419" s="478"/>
      <c r="L419" s="478"/>
      <c r="M419" s="510"/>
      <c r="N419" s="510"/>
      <c r="O419" s="510"/>
      <c r="P419" s="511"/>
      <c r="Q419" s="510"/>
      <c r="R419" s="511"/>
      <c r="S419" s="478"/>
      <c r="T419" s="478"/>
      <c r="U419" s="478"/>
      <c r="V419" s="511"/>
      <c r="W419" s="512"/>
      <c r="X419" s="512"/>
      <c r="Y419" s="513"/>
      <c r="Z419" s="512"/>
      <c r="AA419" s="277"/>
      <c r="AB419" s="277"/>
      <c r="AC419" s="277"/>
      <c r="AD419" s="277"/>
      <c r="AE419" s="277"/>
      <c r="AF419" s="277"/>
      <c r="AG419" s="277"/>
      <c r="AH419" s="277"/>
      <c r="AI419" s="277"/>
      <c r="AJ419" s="277"/>
      <c r="AK419" s="277"/>
      <c r="AL419" s="277"/>
      <c r="AM419" s="277"/>
      <c r="AN419" s="277"/>
      <c r="AO419" s="277"/>
      <c r="AP419" s="514"/>
      <c r="AQ419" s="277"/>
      <c r="AR419" s="514"/>
      <c r="AS419" s="515"/>
    </row>
    <row r="420" spans="3:45" s="516" customFormat="1" x14ac:dyDescent="0.25">
      <c r="C420" s="478"/>
      <c r="D420" s="478"/>
      <c r="E420" s="473"/>
      <c r="F420" s="473"/>
      <c r="G420" s="509"/>
      <c r="H420" s="478"/>
      <c r="I420" s="478"/>
      <c r="J420" s="478"/>
      <c r="K420" s="478"/>
      <c r="L420" s="478"/>
      <c r="M420" s="510"/>
      <c r="N420" s="510"/>
      <c r="O420" s="510"/>
      <c r="P420" s="511"/>
      <c r="Q420" s="510"/>
      <c r="R420" s="511"/>
      <c r="S420" s="478"/>
      <c r="T420" s="478"/>
      <c r="U420" s="478"/>
      <c r="V420" s="511"/>
      <c r="W420" s="512"/>
      <c r="X420" s="512"/>
      <c r="Y420" s="513"/>
      <c r="Z420" s="512"/>
      <c r="AA420" s="277"/>
      <c r="AB420" s="277"/>
      <c r="AC420" s="277"/>
      <c r="AD420" s="277"/>
      <c r="AE420" s="277"/>
      <c r="AF420" s="277"/>
      <c r="AG420" s="277"/>
      <c r="AH420" s="277"/>
      <c r="AI420" s="277"/>
      <c r="AJ420" s="277"/>
      <c r="AK420" s="277"/>
      <c r="AL420" s="277"/>
      <c r="AM420" s="277"/>
      <c r="AN420" s="277"/>
      <c r="AO420" s="277"/>
      <c r="AP420" s="514"/>
      <c r="AQ420" s="277"/>
      <c r="AR420" s="514"/>
      <c r="AS420" s="515"/>
    </row>
    <row r="421" spans="3:45" s="516" customFormat="1" x14ac:dyDescent="0.25">
      <c r="C421" s="478"/>
      <c r="D421" s="478"/>
      <c r="E421" s="473"/>
      <c r="F421" s="473"/>
      <c r="G421" s="509"/>
      <c r="H421" s="478"/>
      <c r="I421" s="478"/>
      <c r="J421" s="478"/>
      <c r="K421" s="478"/>
      <c r="L421" s="478"/>
      <c r="M421" s="510"/>
      <c r="N421" s="510"/>
      <c r="O421" s="510"/>
      <c r="P421" s="511"/>
      <c r="Q421" s="510"/>
      <c r="R421" s="511"/>
      <c r="S421" s="478"/>
      <c r="T421" s="478"/>
      <c r="U421" s="478"/>
      <c r="V421" s="511"/>
      <c r="W421" s="512"/>
      <c r="X421" s="512"/>
      <c r="Y421" s="513"/>
      <c r="Z421" s="512"/>
      <c r="AA421" s="277"/>
      <c r="AB421" s="277"/>
      <c r="AC421" s="277"/>
      <c r="AD421" s="277"/>
      <c r="AE421" s="277"/>
      <c r="AF421" s="277"/>
      <c r="AG421" s="277"/>
      <c r="AH421" s="277"/>
      <c r="AI421" s="277"/>
      <c r="AJ421" s="277"/>
      <c r="AK421" s="277"/>
      <c r="AL421" s="277"/>
      <c r="AM421" s="277"/>
      <c r="AN421" s="277"/>
      <c r="AO421" s="277"/>
      <c r="AP421" s="514"/>
      <c r="AQ421" s="277"/>
      <c r="AR421" s="514"/>
      <c r="AS421" s="515"/>
    </row>
    <row r="422" spans="3:45" s="516" customFormat="1" x14ac:dyDescent="0.25">
      <c r="C422" s="478"/>
      <c r="D422" s="478"/>
      <c r="E422" s="473"/>
      <c r="F422" s="473"/>
      <c r="G422" s="509"/>
      <c r="H422" s="478"/>
      <c r="I422" s="478"/>
      <c r="J422" s="478"/>
      <c r="K422" s="478"/>
      <c r="L422" s="478"/>
      <c r="M422" s="510"/>
      <c r="N422" s="510"/>
      <c r="O422" s="510"/>
      <c r="P422" s="511"/>
      <c r="Q422" s="510"/>
      <c r="R422" s="511"/>
      <c r="S422" s="478"/>
      <c r="T422" s="478"/>
      <c r="U422" s="478"/>
      <c r="V422" s="511"/>
      <c r="W422" s="512"/>
      <c r="X422" s="512"/>
      <c r="Y422" s="513"/>
      <c r="Z422" s="512"/>
      <c r="AA422" s="277"/>
      <c r="AB422" s="277"/>
      <c r="AC422" s="277"/>
      <c r="AD422" s="277"/>
      <c r="AE422" s="277"/>
      <c r="AF422" s="277"/>
      <c r="AG422" s="277"/>
      <c r="AH422" s="277"/>
      <c r="AI422" s="277"/>
      <c r="AJ422" s="277"/>
      <c r="AK422" s="277"/>
      <c r="AL422" s="277"/>
      <c r="AM422" s="277"/>
      <c r="AN422" s="277"/>
      <c r="AO422" s="277"/>
      <c r="AP422" s="514"/>
      <c r="AQ422" s="277"/>
      <c r="AR422" s="514"/>
      <c r="AS422" s="515"/>
    </row>
    <row r="423" spans="3:45" s="516" customFormat="1" x14ac:dyDescent="0.25">
      <c r="C423" s="478"/>
      <c r="D423" s="478"/>
      <c r="E423" s="473"/>
      <c r="F423" s="473"/>
      <c r="G423" s="509"/>
      <c r="H423" s="478"/>
      <c r="I423" s="478"/>
      <c r="J423" s="478"/>
      <c r="K423" s="478"/>
      <c r="L423" s="478"/>
      <c r="M423" s="510"/>
      <c r="N423" s="510"/>
      <c r="O423" s="510"/>
      <c r="P423" s="511"/>
      <c r="Q423" s="510"/>
      <c r="R423" s="511"/>
      <c r="S423" s="478"/>
      <c r="T423" s="478"/>
      <c r="U423" s="478"/>
      <c r="V423" s="511"/>
      <c r="W423" s="512"/>
      <c r="X423" s="512"/>
      <c r="Y423" s="513"/>
      <c r="Z423" s="512"/>
      <c r="AA423" s="277"/>
      <c r="AB423" s="277"/>
      <c r="AC423" s="277"/>
      <c r="AD423" s="277"/>
      <c r="AE423" s="277"/>
      <c r="AF423" s="277"/>
      <c r="AG423" s="277"/>
      <c r="AH423" s="277"/>
      <c r="AI423" s="277"/>
      <c r="AJ423" s="277"/>
      <c r="AK423" s="277"/>
      <c r="AL423" s="277"/>
      <c r="AM423" s="277"/>
      <c r="AN423" s="277"/>
      <c r="AO423" s="277"/>
      <c r="AP423" s="514"/>
      <c r="AQ423" s="277"/>
      <c r="AR423" s="514"/>
      <c r="AS423" s="515"/>
    </row>
    <row r="424" spans="3:45" s="516" customFormat="1" x14ac:dyDescent="0.25">
      <c r="C424" s="478"/>
      <c r="D424" s="478"/>
      <c r="E424" s="473"/>
      <c r="F424" s="473"/>
      <c r="G424" s="509"/>
      <c r="H424" s="478"/>
      <c r="I424" s="478"/>
      <c r="J424" s="478"/>
      <c r="K424" s="478"/>
      <c r="L424" s="478"/>
      <c r="M424" s="510"/>
      <c r="N424" s="510"/>
      <c r="O424" s="510"/>
      <c r="P424" s="511"/>
      <c r="Q424" s="510"/>
      <c r="R424" s="511"/>
      <c r="S424" s="478"/>
      <c r="T424" s="478"/>
      <c r="U424" s="478"/>
      <c r="V424" s="511"/>
      <c r="W424" s="512"/>
      <c r="X424" s="512"/>
      <c r="Y424" s="513"/>
      <c r="Z424" s="512"/>
      <c r="AA424" s="277"/>
      <c r="AB424" s="277"/>
      <c r="AC424" s="277"/>
      <c r="AD424" s="277"/>
      <c r="AE424" s="277"/>
      <c r="AF424" s="277"/>
      <c r="AG424" s="277"/>
      <c r="AH424" s="277"/>
      <c r="AI424" s="277"/>
      <c r="AJ424" s="277"/>
      <c r="AK424" s="277"/>
      <c r="AL424" s="277"/>
      <c r="AM424" s="277"/>
      <c r="AN424" s="277"/>
      <c r="AO424" s="277"/>
      <c r="AP424" s="514"/>
      <c r="AQ424" s="277"/>
      <c r="AR424" s="514"/>
      <c r="AS424" s="515"/>
    </row>
    <row r="425" spans="3:45" s="516" customFormat="1" x14ac:dyDescent="0.25">
      <c r="C425" s="478"/>
      <c r="D425" s="478"/>
      <c r="E425" s="473"/>
      <c r="F425" s="473"/>
      <c r="G425" s="509"/>
      <c r="H425" s="478"/>
      <c r="I425" s="478"/>
      <c r="J425" s="478"/>
      <c r="K425" s="478"/>
      <c r="L425" s="478"/>
      <c r="M425" s="510"/>
      <c r="N425" s="510"/>
      <c r="O425" s="510"/>
      <c r="P425" s="511"/>
      <c r="Q425" s="510"/>
      <c r="R425" s="511"/>
      <c r="S425" s="478"/>
      <c r="T425" s="478"/>
      <c r="U425" s="478"/>
      <c r="V425" s="511"/>
      <c r="W425" s="512"/>
      <c r="X425" s="512"/>
      <c r="Y425" s="513"/>
      <c r="Z425" s="512"/>
      <c r="AA425" s="277"/>
      <c r="AB425" s="277"/>
      <c r="AC425" s="277"/>
      <c r="AD425" s="277"/>
      <c r="AE425" s="277"/>
      <c r="AF425" s="277"/>
      <c r="AG425" s="277"/>
      <c r="AH425" s="277"/>
      <c r="AI425" s="277"/>
      <c r="AJ425" s="277"/>
      <c r="AK425" s="277"/>
      <c r="AL425" s="277"/>
      <c r="AM425" s="277"/>
      <c r="AN425" s="277"/>
      <c r="AO425" s="277"/>
      <c r="AP425" s="514"/>
      <c r="AQ425" s="277"/>
      <c r="AR425" s="514"/>
      <c r="AS425" s="515"/>
    </row>
    <row r="426" spans="3:45" s="516" customFormat="1" x14ac:dyDescent="0.25">
      <c r="C426" s="478"/>
      <c r="D426" s="478"/>
      <c r="E426" s="473"/>
      <c r="F426" s="473"/>
      <c r="G426" s="509"/>
      <c r="H426" s="478"/>
      <c r="I426" s="478"/>
      <c r="J426" s="478"/>
      <c r="K426" s="478"/>
      <c r="L426" s="478"/>
      <c r="M426" s="510"/>
      <c r="N426" s="510"/>
      <c r="O426" s="510"/>
      <c r="P426" s="511"/>
      <c r="Q426" s="510"/>
      <c r="R426" s="511"/>
      <c r="S426" s="478"/>
      <c r="T426" s="478"/>
      <c r="U426" s="478"/>
      <c r="V426" s="511"/>
      <c r="W426" s="512"/>
      <c r="X426" s="512"/>
      <c r="Y426" s="513"/>
      <c r="Z426" s="512"/>
      <c r="AA426" s="277"/>
      <c r="AB426" s="277"/>
      <c r="AC426" s="277"/>
      <c r="AD426" s="277"/>
      <c r="AE426" s="277"/>
      <c r="AF426" s="277"/>
      <c r="AG426" s="277"/>
      <c r="AH426" s="277"/>
      <c r="AI426" s="277"/>
      <c r="AJ426" s="277"/>
      <c r="AK426" s="277"/>
      <c r="AL426" s="277"/>
      <c r="AM426" s="277"/>
      <c r="AN426" s="277"/>
      <c r="AO426" s="277"/>
      <c r="AP426" s="514"/>
      <c r="AQ426" s="277"/>
      <c r="AR426" s="514"/>
      <c r="AS426" s="515"/>
    </row>
    <row r="427" spans="3:45" s="516" customFormat="1" x14ac:dyDescent="0.25">
      <c r="C427" s="478"/>
      <c r="D427" s="478"/>
      <c r="E427" s="473"/>
      <c r="F427" s="473"/>
      <c r="G427" s="509"/>
      <c r="H427" s="478"/>
      <c r="I427" s="478"/>
      <c r="J427" s="478"/>
      <c r="K427" s="478"/>
      <c r="L427" s="478"/>
      <c r="M427" s="510"/>
      <c r="N427" s="510"/>
      <c r="O427" s="510"/>
      <c r="P427" s="511"/>
      <c r="Q427" s="510"/>
      <c r="R427" s="511"/>
      <c r="S427" s="478"/>
      <c r="T427" s="478"/>
      <c r="U427" s="478"/>
      <c r="V427" s="511"/>
      <c r="W427" s="512"/>
      <c r="X427" s="512"/>
      <c r="Y427" s="513"/>
      <c r="Z427" s="512"/>
      <c r="AA427" s="277"/>
      <c r="AB427" s="277"/>
      <c r="AC427" s="277"/>
      <c r="AD427" s="277"/>
      <c r="AE427" s="277"/>
      <c r="AF427" s="277"/>
      <c r="AG427" s="277"/>
      <c r="AH427" s="277"/>
      <c r="AI427" s="277"/>
      <c r="AJ427" s="277"/>
      <c r="AK427" s="277"/>
      <c r="AL427" s="277"/>
      <c r="AM427" s="277"/>
      <c r="AN427" s="277"/>
      <c r="AO427" s="277"/>
      <c r="AP427" s="514"/>
      <c r="AQ427" s="277"/>
      <c r="AR427" s="514"/>
      <c r="AS427" s="515"/>
    </row>
    <row r="428" spans="3:45" s="516" customFormat="1" x14ac:dyDescent="0.25">
      <c r="C428" s="478"/>
      <c r="D428" s="478"/>
      <c r="E428" s="473"/>
      <c r="F428" s="473"/>
      <c r="G428" s="509"/>
      <c r="H428" s="478"/>
      <c r="I428" s="478"/>
      <c r="J428" s="478"/>
      <c r="K428" s="478"/>
      <c r="L428" s="478"/>
      <c r="M428" s="510"/>
      <c r="N428" s="510"/>
      <c r="O428" s="510"/>
      <c r="P428" s="511"/>
      <c r="Q428" s="510"/>
      <c r="R428" s="511"/>
      <c r="S428" s="478"/>
      <c r="T428" s="478"/>
      <c r="U428" s="478"/>
      <c r="V428" s="511"/>
      <c r="W428" s="512"/>
      <c r="X428" s="512"/>
      <c r="Y428" s="513"/>
      <c r="Z428" s="512"/>
      <c r="AA428" s="277"/>
      <c r="AB428" s="277"/>
      <c r="AC428" s="277"/>
      <c r="AD428" s="277"/>
      <c r="AE428" s="277"/>
      <c r="AF428" s="277"/>
      <c r="AG428" s="277"/>
      <c r="AH428" s="277"/>
      <c r="AI428" s="277"/>
      <c r="AJ428" s="277"/>
      <c r="AK428" s="277"/>
      <c r="AL428" s="277"/>
      <c r="AM428" s="277"/>
      <c r="AN428" s="277"/>
      <c r="AO428" s="277"/>
      <c r="AP428" s="514"/>
      <c r="AQ428" s="277"/>
      <c r="AR428" s="514"/>
      <c r="AS428" s="515"/>
    </row>
    <row r="429" spans="3:45" s="516" customFormat="1" x14ac:dyDescent="0.25">
      <c r="C429" s="478"/>
      <c r="D429" s="478"/>
      <c r="E429" s="473"/>
      <c r="F429" s="473"/>
      <c r="G429" s="509"/>
      <c r="H429" s="478"/>
      <c r="I429" s="478"/>
      <c r="J429" s="478"/>
      <c r="K429" s="478"/>
      <c r="L429" s="478"/>
      <c r="M429" s="510"/>
      <c r="N429" s="510"/>
      <c r="O429" s="510"/>
      <c r="P429" s="511"/>
      <c r="Q429" s="510"/>
      <c r="R429" s="511"/>
      <c r="S429" s="478"/>
      <c r="T429" s="478"/>
      <c r="U429" s="478"/>
      <c r="V429" s="511"/>
      <c r="W429" s="512"/>
      <c r="X429" s="512"/>
      <c r="Y429" s="513"/>
      <c r="Z429" s="512"/>
      <c r="AA429" s="277"/>
      <c r="AB429" s="277"/>
      <c r="AC429" s="277"/>
      <c r="AD429" s="277"/>
      <c r="AE429" s="277"/>
      <c r="AF429" s="277"/>
      <c r="AG429" s="277"/>
      <c r="AH429" s="277"/>
      <c r="AI429" s="277"/>
      <c r="AJ429" s="277"/>
      <c r="AK429" s="277"/>
      <c r="AL429" s="277"/>
      <c r="AM429" s="277"/>
      <c r="AN429" s="277"/>
      <c r="AO429" s="277"/>
      <c r="AP429" s="514"/>
      <c r="AQ429" s="277"/>
      <c r="AR429" s="514"/>
      <c r="AS429" s="515"/>
    </row>
    <row r="430" spans="3:45" s="516" customFormat="1" x14ac:dyDescent="0.25">
      <c r="C430" s="478"/>
      <c r="D430" s="478"/>
      <c r="E430" s="473"/>
      <c r="F430" s="473"/>
      <c r="G430" s="509"/>
      <c r="H430" s="478"/>
      <c r="I430" s="478"/>
      <c r="J430" s="478"/>
      <c r="K430" s="478"/>
      <c r="L430" s="478"/>
      <c r="M430" s="510"/>
      <c r="N430" s="510"/>
      <c r="O430" s="510"/>
      <c r="P430" s="511"/>
      <c r="Q430" s="510"/>
      <c r="R430" s="511"/>
      <c r="S430" s="478"/>
      <c r="T430" s="478"/>
      <c r="U430" s="478"/>
      <c r="V430" s="511"/>
      <c r="W430" s="512"/>
      <c r="X430" s="512"/>
      <c r="Y430" s="513"/>
      <c r="Z430" s="512"/>
      <c r="AA430" s="277"/>
      <c r="AB430" s="277"/>
      <c r="AC430" s="277"/>
      <c r="AD430" s="277"/>
      <c r="AE430" s="277"/>
      <c r="AF430" s="277"/>
      <c r="AG430" s="277"/>
      <c r="AH430" s="277"/>
      <c r="AI430" s="277"/>
      <c r="AJ430" s="277"/>
      <c r="AK430" s="277"/>
      <c r="AL430" s="277"/>
      <c r="AM430" s="277"/>
      <c r="AN430" s="277"/>
      <c r="AO430" s="277"/>
      <c r="AP430" s="514"/>
      <c r="AQ430" s="277"/>
      <c r="AR430" s="514"/>
      <c r="AS430" s="515"/>
    </row>
    <row r="431" spans="3:45" s="516" customFormat="1" x14ac:dyDescent="0.25">
      <c r="C431" s="478"/>
      <c r="D431" s="478"/>
      <c r="E431" s="473"/>
      <c r="F431" s="473"/>
      <c r="G431" s="509"/>
      <c r="H431" s="478"/>
      <c r="I431" s="478"/>
      <c r="J431" s="478"/>
      <c r="K431" s="478"/>
      <c r="L431" s="478"/>
      <c r="M431" s="510"/>
      <c r="N431" s="510"/>
      <c r="O431" s="510"/>
      <c r="P431" s="511"/>
      <c r="Q431" s="510"/>
      <c r="R431" s="511"/>
      <c r="S431" s="478"/>
      <c r="T431" s="478"/>
      <c r="U431" s="478"/>
      <c r="V431" s="511"/>
      <c r="W431" s="512"/>
      <c r="X431" s="512"/>
      <c r="Y431" s="513"/>
      <c r="Z431" s="512"/>
      <c r="AA431" s="277"/>
      <c r="AB431" s="277"/>
      <c r="AC431" s="277"/>
      <c r="AD431" s="277"/>
      <c r="AE431" s="277"/>
      <c r="AF431" s="277"/>
      <c r="AG431" s="277"/>
      <c r="AH431" s="277"/>
      <c r="AI431" s="277"/>
      <c r="AJ431" s="277"/>
      <c r="AK431" s="277"/>
      <c r="AL431" s="277"/>
      <c r="AM431" s="277"/>
      <c r="AN431" s="277"/>
      <c r="AO431" s="277"/>
      <c r="AP431" s="514"/>
      <c r="AQ431" s="277"/>
      <c r="AR431" s="514"/>
      <c r="AS431" s="515"/>
    </row>
    <row r="432" spans="3:45" s="516" customFormat="1" x14ac:dyDescent="0.25">
      <c r="C432" s="478"/>
      <c r="D432" s="478"/>
      <c r="E432" s="473"/>
      <c r="F432" s="473"/>
      <c r="G432" s="509"/>
      <c r="H432" s="478"/>
      <c r="I432" s="478"/>
      <c r="J432" s="478"/>
      <c r="K432" s="478"/>
      <c r="L432" s="478"/>
      <c r="M432" s="510"/>
      <c r="N432" s="510"/>
      <c r="O432" s="510"/>
      <c r="P432" s="511"/>
      <c r="Q432" s="510"/>
      <c r="R432" s="511"/>
      <c r="S432" s="478"/>
      <c r="T432" s="478"/>
      <c r="U432" s="478"/>
      <c r="V432" s="511"/>
      <c r="W432" s="512"/>
      <c r="X432" s="512"/>
      <c r="Y432" s="513"/>
      <c r="Z432" s="512"/>
      <c r="AA432" s="277"/>
      <c r="AB432" s="277"/>
      <c r="AC432" s="277"/>
      <c r="AD432" s="277"/>
      <c r="AE432" s="277"/>
      <c r="AF432" s="277"/>
      <c r="AG432" s="277"/>
      <c r="AH432" s="277"/>
      <c r="AI432" s="277"/>
      <c r="AJ432" s="277"/>
      <c r="AK432" s="277"/>
      <c r="AL432" s="277"/>
      <c r="AM432" s="277"/>
      <c r="AN432" s="277"/>
      <c r="AO432" s="277"/>
      <c r="AP432" s="514"/>
      <c r="AQ432" s="277"/>
      <c r="AR432" s="514"/>
      <c r="AS432" s="515"/>
    </row>
    <row r="433" spans="3:45" s="516" customFormat="1" x14ac:dyDescent="0.25">
      <c r="C433" s="478"/>
      <c r="D433" s="478"/>
      <c r="E433" s="473"/>
      <c r="F433" s="473"/>
      <c r="G433" s="509"/>
      <c r="H433" s="478"/>
      <c r="I433" s="478"/>
      <c r="J433" s="478"/>
      <c r="K433" s="478"/>
      <c r="L433" s="478"/>
      <c r="M433" s="510"/>
      <c r="N433" s="510"/>
      <c r="O433" s="510"/>
      <c r="P433" s="511"/>
      <c r="Q433" s="510"/>
      <c r="R433" s="511"/>
      <c r="S433" s="478"/>
      <c r="T433" s="478"/>
      <c r="U433" s="478"/>
      <c r="V433" s="511"/>
      <c r="W433" s="512"/>
      <c r="X433" s="512"/>
      <c r="Y433" s="513"/>
      <c r="Z433" s="512"/>
      <c r="AA433" s="277"/>
      <c r="AB433" s="277"/>
      <c r="AC433" s="277"/>
      <c r="AD433" s="277"/>
      <c r="AE433" s="277"/>
      <c r="AF433" s="277"/>
      <c r="AG433" s="277"/>
      <c r="AH433" s="277"/>
      <c r="AI433" s="277"/>
      <c r="AJ433" s="277"/>
      <c r="AK433" s="277"/>
      <c r="AL433" s="277"/>
      <c r="AM433" s="277"/>
      <c r="AN433" s="277"/>
      <c r="AO433" s="277"/>
      <c r="AP433" s="514"/>
      <c r="AQ433" s="277"/>
      <c r="AR433" s="514"/>
      <c r="AS433" s="515"/>
    </row>
    <row r="434" spans="3:45" s="516" customFormat="1" x14ac:dyDescent="0.25">
      <c r="C434" s="478"/>
      <c r="D434" s="478"/>
      <c r="E434" s="473"/>
      <c r="F434" s="473"/>
      <c r="G434" s="509"/>
      <c r="H434" s="478"/>
      <c r="I434" s="478"/>
      <c r="J434" s="478"/>
      <c r="K434" s="478"/>
      <c r="L434" s="478"/>
      <c r="M434" s="510"/>
      <c r="N434" s="510"/>
      <c r="O434" s="510"/>
      <c r="P434" s="511"/>
      <c r="Q434" s="510"/>
      <c r="R434" s="511"/>
      <c r="S434" s="478"/>
      <c r="T434" s="478"/>
      <c r="U434" s="478"/>
      <c r="V434" s="511"/>
      <c r="W434" s="512"/>
      <c r="X434" s="512"/>
      <c r="Y434" s="513"/>
      <c r="Z434" s="512"/>
      <c r="AA434" s="277"/>
      <c r="AB434" s="277"/>
      <c r="AC434" s="277"/>
      <c r="AD434" s="277"/>
      <c r="AE434" s="277"/>
      <c r="AF434" s="277"/>
      <c r="AG434" s="277"/>
      <c r="AH434" s="277"/>
      <c r="AI434" s="277"/>
      <c r="AJ434" s="277"/>
      <c r="AK434" s="277"/>
      <c r="AL434" s="277"/>
      <c r="AM434" s="277"/>
      <c r="AN434" s="277"/>
      <c r="AO434" s="277"/>
      <c r="AP434" s="514"/>
      <c r="AQ434" s="277"/>
      <c r="AR434" s="514"/>
      <c r="AS434" s="515"/>
    </row>
    <row r="435" spans="3:45" s="516" customFormat="1" x14ac:dyDescent="0.25">
      <c r="C435" s="478"/>
      <c r="D435" s="478"/>
      <c r="E435" s="473"/>
      <c r="F435" s="473"/>
      <c r="G435" s="509"/>
      <c r="H435" s="478"/>
      <c r="I435" s="478"/>
      <c r="J435" s="478"/>
      <c r="K435" s="478"/>
      <c r="L435" s="478"/>
      <c r="M435" s="510"/>
      <c r="N435" s="510"/>
      <c r="O435" s="510"/>
      <c r="P435" s="511"/>
      <c r="Q435" s="510"/>
      <c r="R435" s="511"/>
      <c r="S435" s="478"/>
      <c r="T435" s="478"/>
      <c r="U435" s="478"/>
      <c r="V435" s="511"/>
      <c r="W435" s="512"/>
      <c r="X435" s="512"/>
      <c r="Y435" s="513"/>
      <c r="Z435" s="512"/>
      <c r="AA435" s="277"/>
      <c r="AB435" s="277"/>
      <c r="AC435" s="277"/>
      <c r="AD435" s="277"/>
      <c r="AE435" s="277"/>
      <c r="AF435" s="277"/>
      <c r="AG435" s="277"/>
      <c r="AH435" s="277"/>
      <c r="AI435" s="277"/>
      <c r="AJ435" s="277"/>
      <c r="AK435" s="277"/>
      <c r="AL435" s="277"/>
      <c r="AM435" s="277"/>
      <c r="AN435" s="277"/>
      <c r="AO435" s="277"/>
      <c r="AP435" s="514"/>
      <c r="AQ435" s="277"/>
      <c r="AR435" s="514"/>
      <c r="AS435" s="515"/>
    </row>
    <row r="436" spans="3:45" s="516" customFormat="1" x14ac:dyDescent="0.25">
      <c r="C436" s="478"/>
      <c r="D436" s="478"/>
      <c r="E436" s="473"/>
      <c r="F436" s="473"/>
      <c r="G436" s="509"/>
      <c r="H436" s="478"/>
      <c r="I436" s="478"/>
      <c r="J436" s="478"/>
      <c r="K436" s="478"/>
      <c r="L436" s="478"/>
      <c r="M436" s="510"/>
      <c r="N436" s="510"/>
      <c r="O436" s="510"/>
      <c r="P436" s="511"/>
      <c r="Q436" s="510"/>
      <c r="R436" s="511"/>
      <c r="S436" s="478"/>
      <c r="T436" s="478"/>
      <c r="U436" s="478"/>
      <c r="V436" s="511"/>
      <c r="W436" s="512"/>
      <c r="X436" s="512"/>
      <c r="Y436" s="513"/>
      <c r="Z436" s="512"/>
      <c r="AA436" s="277"/>
      <c r="AB436" s="277"/>
      <c r="AC436" s="277"/>
      <c r="AD436" s="277"/>
      <c r="AE436" s="277"/>
      <c r="AF436" s="277"/>
      <c r="AG436" s="277"/>
      <c r="AH436" s="277"/>
      <c r="AI436" s="277"/>
      <c r="AJ436" s="277"/>
      <c r="AK436" s="277"/>
      <c r="AL436" s="277"/>
      <c r="AM436" s="277"/>
      <c r="AN436" s="277"/>
      <c r="AO436" s="277"/>
      <c r="AP436" s="514"/>
      <c r="AQ436" s="277"/>
      <c r="AR436" s="514"/>
      <c r="AS436" s="515"/>
    </row>
    <row r="437" spans="3:45" s="516" customFormat="1" x14ac:dyDescent="0.25">
      <c r="C437" s="478"/>
      <c r="D437" s="478"/>
      <c r="E437" s="473"/>
      <c r="F437" s="473"/>
      <c r="G437" s="509"/>
      <c r="H437" s="478"/>
      <c r="I437" s="478"/>
      <c r="J437" s="478"/>
      <c r="K437" s="478"/>
      <c r="L437" s="478"/>
      <c r="M437" s="510"/>
      <c r="N437" s="510"/>
      <c r="O437" s="510"/>
      <c r="P437" s="511"/>
      <c r="Q437" s="510"/>
      <c r="R437" s="511"/>
      <c r="S437" s="478"/>
      <c r="T437" s="478"/>
      <c r="U437" s="478"/>
      <c r="V437" s="511"/>
      <c r="W437" s="512"/>
      <c r="X437" s="512"/>
      <c r="Y437" s="513"/>
      <c r="Z437" s="512"/>
      <c r="AA437" s="277"/>
      <c r="AB437" s="277"/>
      <c r="AC437" s="277"/>
      <c r="AD437" s="277"/>
      <c r="AE437" s="277"/>
      <c r="AF437" s="277"/>
      <c r="AG437" s="277"/>
      <c r="AH437" s="277"/>
      <c r="AI437" s="277"/>
      <c r="AJ437" s="277"/>
      <c r="AK437" s="277"/>
      <c r="AL437" s="277"/>
      <c r="AM437" s="277"/>
      <c r="AN437" s="277"/>
      <c r="AO437" s="277"/>
      <c r="AP437" s="514"/>
      <c r="AQ437" s="277"/>
      <c r="AR437" s="514"/>
      <c r="AS437" s="515"/>
    </row>
    <row r="438" spans="3:45" s="516" customFormat="1" x14ac:dyDescent="0.25">
      <c r="C438" s="478"/>
      <c r="D438" s="478"/>
      <c r="E438" s="473"/>
      <c r="F438" s="473"/>
      <c r="G438" s="509"/>
      <c r="H438" s="478"/>
      <c r="I438" s="478"/>
      <c r="J438" s="478"/>
      <c r="K438" s="478"/>
      <c r="L438" s="478"/>
      <c r="M438" s="510"/>
      <c r="N438" s="510"/>
      <c r="O438" s="510"/>
      <c r="P438" s="511"/>
      <c r="Q438" s="510"/>
      <c r="R438" s="511"/>
      <c r="S438" s="478"/>
      <c r="T438" s="478"/>
      <c r="U438" s="478"/>
      <c r="V438" s="511"/>
      <c r="W438" s="512"/>
      <c r="X438" s="512"/>
      <c r="Y438" s="513"/>
      <c r="Z438" s="512"/>
      <c r="AA438" s="277"/>
      <c r="AB438" s="277"/>
      <c r="AC438" s="277"/>
      <c r="AD438" s="277"/>
      <c r="AE438" s="277"/>
      <c r="AF438" s="277"/>
      <c r="AG438" s="277"/>
      <c r="AH438" s="277"/>
      <c r="AI438" s="277"/>
      <c r="AJ438" s="277"/>
      <c r="AK438" s="277"/>
      <c r="AL438" s="277"/>
      <c r="AM438" s="277"/>
      <c r="AN438" s="277"/>
      <c r="AO438" s="277"/>
      <c r="AP438" s="514"/>
      <c r="AQ438" s="277"/>
      <c r="AR438" s="514"/>
      <c r="AS438" s="515"/>
    </row>
    <row r="439" spans="3:45" s="516" customFormat="1" x14ac:dyDescent="0.25">
      <c r="C439" s="478"/>
      <c r="D439" s="478"/>
      <c r="E439" s="473"/>
      <c r="F439" s="473"/>
      <c r="G439" s="509"/>
      <c r="H439" s="478"/>
      <c r="I439" s="478"/>
      <c r="J439" s="478"/>
      <c r="K439" s="478"/>
      <c r="L439" s="478"/>
      <c r="M439" s="510"/>
      <c r="N439" s="510"/>
      <c r="O439" s="510"/>
      <c r="P439" s="511"/>
      <c r="Q439" s="510"/>
      <c r="R439" s="511"/>
      <c r="S439" s="478"/>
      <c r="T439" s="478"/>
      <c r="U439" s="478"/>
      <c r="V439" s="511"/>
      <c r="W439" s="512"/>
      <c r="X439" s="512"/>
      <c r="Y439" s="513"/>
      <c r="Z439" s="512"/>
      <c r="AA439" s="277"/>
      <c r="AB439" s="277"/>
      <c r="AC439" s="277"/>
      <c r="AD439" s="277"/>
      <c r="AE439" s="277"/>
      <c r="AF439" s="277"/>
      <c r="AG439" s="277"/>
      <c r="AH439" s="277"/>
      <c r="AI439" s="277"/>
      <c r="AJ439" s="277"/>
      <c r="AK439" s="277"/>
      <c r="AL439" s="277"/>
      <c r="AM439" s="277"/>
      <c r="AN439" s="277"/>
      <c r="AO439" s="277"/>
      <c r="AP439" s="514"/>
      <c r="AQ439" s="277"/>
      <c r="AR439" s="514"/>
      <c r="AS439" s="515"/>
    </row>
    <row r="440" spans="3:45" s="516" customFormat="1" x14ac:dyDescent="0.25">
      <c r="C440" s="478"/>
      <c r="D440" s="478"/>
      <c r="E440" s="473"/>
      <c r="F440" s="473"/>
      <c r="G440" s="509"/>
      <c r="H440" s="478"/>
      <c r="I440" s="478"/>
      <c r="J440" s="478"/>
      <c r="K440" s="478"/>
      <c r="L440" s="478"/>
      <c r="M440" s="510"/>
      <c r="N440" s="510"/>
      <c r="O440" s="510"/>
      <c r="P440" s="511"/>
      <c r="Q440" s="510"/>
      <c r="R440" s="511"/>
      <c r="S440" s="478"/>
      <c r="T440" s="478"/>
      <c r="U440" s="478"/>
      <c r="V440" s="511"/>
      <c r="W440" s="512"/>
      <c r="X440" s="512"/>
      <c r="Y440" s="513"/>
      <c r="Z440" s="512"/>
      <c r="AA440" s="277"/>
      <c r="AB440" s="277"/>
      <c r="AC440" s="277"/>
      <c r="AD440" s="277"/>
      <c r="AE440" s="277"/>
      <c r="AF440" s="277"/>
      <c r="AG440" s="277"/>
      <c r="AH440" s="277"/>
      <c r="AI440" s="277"/>
      <c r="AJ440" s="277"/>
      <c r="AK440" s="277"/>
      <c r="AL440" s="277"/>
      <c r="AM440" s="277"/>
      <c r="AN440" s="277"/>
      <c r="AO440" s="277"/>
      <c r="AP440" s="514"/>
      <c r="AQ440" s="277"/>
      <c r="AR440" s="514"/>
      <c r="AS440" s="515"/>
    </row>
    <row r="441" spans="3:45" s="516" customFormat="1" x14ac:dyDescent="0.25">
      <c r="C441" s="478"/>
      <c r="D441" s="478"/>
      <c r="E441" s="473"/>
      <c r="F441" s="473"/>
      <c r="G441" s="509"/>
      <c r="H441" s="478"/>
      <c r="I441" s="478"/>
      <c r="J441" s="478"/>
      <c r="K441" s="478"/>
      <c r="L441" s="478"/>
      <c r="M441" s="510"/>
      <c r="N441" s="510"/>
      <c r="O441" s="510"/>
      <c r="P441" s="511"/>
      <c r="Q441" s="510"/>
      <c r="R441" s="511"/>
      <c r="S441" s="478"/>
      <c r="T441" s="478"/>
      <c r="U441" s="478"/>
      <c r="V441" s="511"/>
      <c r="W441" s="512"/>
      <c r="X441" s="512"/>
      <c r="Y441" s="513"/>
      <c r="Z441" s="512"/>
      <c r="AA441" s="277"/>
      <c r="AB441" s="277"/>
      <c r="AC441" s="277"/>
      <c r="AD441" s="277"/>
      <c r="AE441" s="277"/>
      <c r="AF441" s="277"/>
      <c r="AG441" s="277"/>
      <c r="AH441" s="277"/>
      <c r="AI441" s="277"/>
      <c r="AJ441" s="277"/>
      <c r="AK441" s="277"/>
      <c r="AL441" s="277"/>
      <c r="AM441" s="277"/>
      <c r="AN441" s="277"/>
      <c r="AO441" s="277"/>
      <c r="AP441" s="514"/>
      <c r="AQ441" s="277"/>
      <c r="AR441" s="514"/>
      <c r="AS441" s="515"/>
    </row>
    <row r="442" spans="3:45" s="516" customFormat="1" x14ac:dyDescent="0.25">
      <c r="C442" s="478"/>
      <c r="D442" s="478"/>
      <c r="E442" s="473"/>
      <c r="F442" s="473"/>
      <c r="G442" s="509"/>
      <c r="H442" s="478"/>
      <c r="I442" s="478"/>
      <c r="J442" s="478"/>
      <c r="K442" s="478"/>
      <c r="L442" s="478"/>
      <c r="M442" s="510"/>
      <c r="N442" s="510"/>
      <c r="O442" s="510"/>
      <c r="P442" s="511"/>
      <c r="Q442" s="510"/>
      <c r="R442" s="511"/>
      <c r="S442" s="478"/>
      <c r="T442" s="478"/>
      <c r="U442" s="478"/>
      <c r="V442" s="511"/>
      <c r="W442" s="512"/>
      <c r="X442" s="512"/>
      <c r="Y442" s="513"/>
      <c r="Z442" s="512"/>
      <c r="AA442" s="277"/>
      <c r="AB442" s="277"/>
      <c r="AC442" s="277"/>
      <c r="AD442" s="277"/>
      <c r="AE442" s="277"/>
      <c r="AF442" s="277"/>
      <c r="AG442" s="277"/>
      <c r="AH442" s="277"/>
      <c r="AI442" s="277"/>
      <c r="AJ442" s="277"/>
      <c r="AK442" s="277"/>
      <c r="AL442" s="277"/>
      <c r="AM442" s="277"/>
      <c r="AN442" s="277"/>
      <c r="AO442" s="277"/>
      <c r="AP442" s="514"/>
      <c r="AQ442" s="277"/>
      <c r="AR442" s="514"/>
      <c r="AS442" s="515"/>
    </row>
    <row r="443" spans="3:45" s="516" customFormat="1" x14ac:dyDescent="0.25">
      <c r="C443" s="478"/>
      <c r="D443" s="478"/>
      <c r="E443" s="473"/>
      <c r="F443" s="473"/>
      <c r="G443" s="509"/>
      <c r="H443" s="478"/>
      <c r="I443" s="478"/>
      <c r="J443" s="478"/>
      <c r="K443" s="478"/>
      <c r="L443" s="478"/>
      <c r="M443" s="510"/>
      <c r="N443" s="510"/>
      <c r="O443" s="510"/>
      <c r="P443" s="511"/>
      <c r="Q443" s="510"/>
      <c r="R443" s="511"/>
      <c r="S443" s="478"/>
      <c r="T443" s="478"/>
      <c r="U443" s="478"/>
      <c r="V443" s="511"/>
      <c r="W443" s="512"/>
      <c r="X443" s="512"/>
      <c r="Y443" s="513"/>
      <c r="Z443" s="512"/>
      <c r="AA443" s="277"/>
      <c r="AB443" s="277"/>
      <c r="AC443" s="277"/>
      <c r="AD443" s="277"/>
      <c r="AE443" s="277"/>
      <c r="AF443" s="277"/>
      <c r="AG443" s="277"/>
      <c r="AH443" s="277"/>
      <c r="AI443" s="277"/>
      <c r="AJ443" s="277"/>
      <c r="AK443" s="277"/>
      <c r="AL443" s="277"/>
      <c r="AM443" s="277"/>
      <c r="AN443" s="277"/>
      <c r="AO443" s="277"/>
      <c r="AP443" s="514"/>
      <c r="AQ443" s="277"/>
      <c r="AR443" s="514"/>
      <c r="AS443" s="515"/>
    </row>
    <row r="444" spans="3:45" s="516" customFormat="1" x14ac:dyDescent="0.25">
      <c r="C444" s="478"/>
      <c r="D444" s="478"/>
      <c r="E444" s="473"/>
      <c r="F444" s="473"/>
      <c r="G444" s="509"/>
      <c r="H444" s="478"/>
      <c r="I444" s="478"/>
      <c r="J444" s="478"/>
      <c r="K444" s="478"/>
      <c r="L444" s="478"/>
      <c r="M444" s="510"/>
      <c r="N444" s="510"/>
      <c r="O444" s="510"/>
      <c r="P444" s="511"/>
      <c r="Q444" s="510"/>
      <c r="R444" s="511"/>
      <c r="S444" s="478"/>
      <c r="T444" s="478"/>
      <c r="U444" s="478"/>
      <c r="V444" s="511"/>
      <c r="W444" s="512"/>
      <c r="X444" s="512"/>
      <c r="Y444" s="513"/>
      <c r="Z444" s="512"/>
      <c r="AA444" s="277"/>
      <c r="AB444" s="277"/>
      <c r="AC444" s="277"/>
      <c r="AD444" s="277"/>
      <c r="AE444" s="277"/>
      <c r="AF444" s="277"/>
      <c r="AG444" s="277"/>
      <c r="AH444" s="277"/>
      <c r="AI444" s="277"/>
      <c r="AJ444" s="277"/>
      <c r="AK444" s="277"/>
      <c r="AL444" s="277"/>
      <c r="AM444" s="277"/>
      <c r="AN444" s="277"/>
      <c r="AO444" s="277"/>
      <c r="AP444" s="514"/>
      <c r="AQ444" s="277"/>
      <c r="AR444" s="514"/>
      <c r="AS444" s="515"/>
    </row>
    <row r="445" spans="3:45" s="516" customFormat="1" x14ac:dyDescent="0.25">
      <c r="C445" s="478"/>
      <c r="D445" s="478"/>
      <c r="E445" s="473"/>
      <c r="F445" s="473"/>
      <c r="G445" s="509"/>
      <c r="H445" s="478"/>
      <c r="I445" s="478"/>
      <c r="J445" s="478"/>
      <c r="K445" s="478"/>
      <c r="L445" s="478"/>
      <c r="M445" s="510"/>
      <c r="N445" s="510"/>
      <c r="O445" s="510"/>
      <c r="P445" s="511"/>
      <c r="Q445" s="510"/>
      <c r="R445" s="511"/>
      <c r="S445" s="478"/>
      <c r="T445" s="478"/>
      <c r="U445" s="478"/>
      <c r="V445" s="511"/>
      <c r="W445" s="512"/>
      <c r="X445" s="512"/>
      <c r="Y445" s="513"/>
      <c r="Z445" s="512"/>
      <c r="AA445" s="277"/>
      <c r="AB445" s="277"/>
      <c r="AC445" s="277"/>
      <c r="AD445" s="277"/>
      <c r="AE445" s="277"/>
      <c r="AF445" s="277"/>
      <c r="AG445" s="277"/>
      <c r="AH445" s="277"/>
      <c r="AI445" s="277"/>
      <c r="AJ445" s="277"/>
      <c r="AK445" s="277"/>
      <c r="AL445" s="277"/>
      <c r="AM445" s="277"/>
      <c r="AN445" s="277"/>
      <c r="AO445" s="277"/>
      <c r="AP445" s="514"/>
      <c r="AQ445" s="277"/>
      <c r="AR445" s="514"/>
      <c r="AS445" s="515"/>
    </row>
    <row r="446" spans="3:45" s="516" customFormat="1" x14ac:dyDescent="0.25">
      <c r="C446" s="478"/>
      <c r="D446" s="478"/>
      <c r="E446" s="473"/>
      <c r="F446" s="473"/>
      <c r="G446" s="509"/>
      <c r="H446" s="478"/>
      <c r="I446" s="478"/>
      <c r="J446" s="478"/>
      <c r="K446" s="478"/>
      <c r="L446" s="478"/>
      <c r="M446" s="510"/>
      <c r="N446" s="510"/>
      <c r="O446" s="510"/>
      <c r="P446" s="511"/>
      <c r="Q446" s="510"/>
      <c r="R446" s="511"/>
      <c r="S446" s="478"/>
      <c r="T446" s="478"/>
      <c r="U446" s="478"/>
      <c r="V446" s="511"/>
      <c r="W446" s="512"/>
      <c r="X446" s="512"/>
      <c r="Y446" s="513"/>
      <c r="Z446" s="512"/>
      <c r="AA446" s="277"/>
      <c r="AB446" s="277"/>
      <c r="AC446" s="277"/>
      <c r="AD446" s="277"/>
      <c r="AE446" s="277"/>
      <c r="AF446" s="277"/>
      <c r="AG446" s="277"/>
      <c r="AH446" s="277"/>
      <c r="AI446" s="277"/>
      <c r="AJ446" s="277"/>
      <c r="AK446" s="277"/>
      <c r="AL446" s="277"/>
      <c r="AM446" s="277"/>
      <c r="AN446" s="277"/>
      <c r="AO446" s="277"/>
      <c r="AP446" s="514"/>
      <c r="AQ446" s="277"/>
      <c r="AR446" s="514"/>
      <c r="AS446" s="515"/>
    </row>
    <row r="447" spans="3:45" s="516" customFormat="1" x14ac:dyDescent="0.25">
      <c r="C447" s="478"/>
      <c r="D447" s="478"/>
      <c r="E447" s="473"/>
      <c r="F447" s="473"/>
      <c r="G447" s="509"/>
      <c r="H447" s="478"/>
      <c r="I447" s="478"/>
      <c r="J447" s="478"/>
      <c r="K447" s="478"/>
      <c r="L447" s="478"/>
      <c r="M447" s="510"/>
      <c r="N447" s="510"/>
      <c r="O447" s="510"/>
      <c r="P447" s="511"/>
      <c r="Q447" s="510"/>
      <c r="R447" s="511"/>
      <c r="S447" s="478"/>
      <c r="T447" s="478"/>
      <c r="U447" s="478"/>
      <c r="V447" s="511"/>
      <c r="W447" s="512"/>
      <c r="X447" s="512"/>
      <c r="Y447" s="513"/>
      <c r="Z447" s="512"/>
      <c r="AA447" s="277"/>
      <c r="AB447" s="277"/>
      <c r="AC447" s="277"/>
      <c r="AD447" s="277"/>
      <c r="AE447" s="277"/>
      <c r="AF447" s="277"/>
      <c r="AG447" s="277"/>
      <c r="AH447" s="277"/>
      <c r="AI447" s="277"/>
      <c r="AJ447" s="277"/>
      <c r="AK447" s="277"/>
      <c r="AL447" s="277"/>
      <c r="AM447" s="277"/>
      <c r="AN447" s="277"/>
      <c r="AO447" s="277"/>
      <c r="AP447" s="514"/>
      <c r="AQ447" s="277"/>
      <c r="AR447" s="514"/>
      <c r="AS447" s="515"/>
    </row>
    <row r="448" spans="3:45" s="516" customFormat="1" x14ac:dyDescent="0.25">
      <c r="C448" s="478"/>
      <c r="D448" s="478"/>
      <c r="E448" s="473"/>
      <c r="F448" s="473"/>
      <c r="G448" s="509"/>
      <c r="H448" s="478"/>
      <c r="I448" s="478"/>
      <c r="J448" s="478"/>
      <c r="K448" s="478"/>
      <c r="L448" s="478"/>
      <c r="M448" s="510"/>
      <c r="N448" s="510"/>
      <c r="O448" s="510"/>
      <c r="P448" s="511"/>
      <c r="Q448" s="510"/>
      <c r="R448" s="511"/>
      <c r="S448" s="478"/>
      <c r="T448" s="478"/>
      <c r="U448" s="478"/>
      <c r="V448" s="511"/>
      <c r="W448" s="512"/>
      <c r="X448" s="512"/>
      <c r="Y448" s="513"/>
      <c r="Z448" s="512"/>
      <c r="AA448" s="277"/>
      <c r="AB448" s="277"/>
      <c r="AC448" s="277"/>
      <c r="AD448" s="277"/>
      <c r="AE448" s="277"/>
      <c r="AF448" s="277"/>
      <c r="AG448" s="277"/>
      <c r="AH448" s="277"/>
      <c r="AI448" s="277"/>
      <c r="AJ448" s="277"/>
      <c r="AK448" s="277"/>
      <c r="AL448" s="277"/>
      <c r="AM448" s="277"/>
      <c r="AN448" s="277"/>
      <c r="AO448" s="277"/>
      <c r="AP448" s="514"/>
      <c r="AQ448" s="277"/>
      <c r="AR448" s="514"/>
      <c r="AS448" s="515"/>
    </row>
    <row r="449" spans="3:45" s="516" customFormat="1" x14ac:dyDescent="0.25">
      <c r="C449" s="478"/>
      <c r="D449" s="478"/>
      <c r="E449" s="473"/>
      <c r="F449" s="473"/>
      <c r="G449" s="509"/>
      <c r="H449" s="478"/>
      <c r="I449" s="478"/>
      <c r="J449" s="478"/>
      <c r="K449" s="478"/>
      <c r="L449" s="478"/>
      <c r="M449" s="510"/>
      <c r="N449" s="510"/>
      <c r="O449" s="510"/>
      <c r="P449" s="511"/>
      <c r="Q449" s="510"/>
      <c r="R449" s="511"/>
      <c r="S449" s="478"/>
      <c r="T449" s="478"/>
      <c r="U449" s="478"/>
      <c r="V449" s="511"/>
      <c r="W449" s="512"/>
      <c r="X449" s="512"/>
      <c r="Y449" s="513"/>
      <c r="Z449" s="512"/>
      <c r="AA449" s="277"/>
      <c r="AB449" s="277"/>
      <c r="AC449" s="277"/>
      <c r="AD449" s="277"/>
      <c r="AE449" s="277"/>
      <c r="AF449" s="277"/>
      <c r="AG449" s="277"/>
      <c r="AH449" s="277"/>
      <c r="AI449" s="277"/>
      <c r="AJ449" s="277"/>
      <c r="AK449" s="277"/>
      <c r="AL449" s="277"/>
      <c r="AM449" s="277"/>
      <c r="AN449" s="277"/>
      <c r="AO449" s="277"/>
      <c r="AP449" s="514"/>
      <c r="AQ449" s="277"/>
      <c r="AR449" s="514"/>
      <c r="AS449" s="515"/>
    </row>
    <row r="450" spans="3:45" s="516" customFormat="1" x14ac:dyDescent="0.25">
      <c r="C450" s="478"/>
      <c r="D450" s="478"/>
      <c r="E450" s="473"/>
      <c r="F450" s="473"/>
      <c r="G450" s="509"/>
      <c r="H450" s="478"/>
      <c r="I450" s="478"/>
      <c r="J450" s="478"/>
      <c r="K450" s="478"/>
      <c r="L450" s="478"/>
      <c r="M450" s="510"/>
      <c r="N450" s="510"/>
      <c r="O450" s="510"/>
      <c r="P450" s="511"/>
      <c r="Q450" s="510"/>
      <c r="R450" s="511"/>
      <c r="S450" s="478"/>
      <c r="T450" s="478"/>
      <c r="U450" s="478"/>
      <c r="V450" s="511"/>
      <c r="W450" s="512"/>
      <c r="X450" s="512"/>
      <c r="Y450" s="513"/>
      <c r="Z450" s="512"/>
      <c r="AA450" s="277"/>
      <c r="AB450" s="277"/>
      <c r="AC450" s="277"/>
      <c r="AD450" s="277"/>
      <c r="AE450" s="277"/>
      <c r="AF450" s="277"/>
      <c r="AG450" s="277"/>
      <c r="AH450" s="277"/>
      <c r="AI450" s="277"/>
      <c r="AJ450" s="277"/>
      <c r="AK450" s="277"/>
      <c r="AL450" s="277"/>
      <c r="AM450" s="277"/>
      <c r="AN450" s="277"/>
      <c r="AO450" s="277"/>
      <c r="AP450" s="514"/>
      <c r="AQ450" s="277"/>
      <c r="AR450" s="514"/>
      <c r="AS450" s="515"/>
    </row>
    <row r="451" spans="3:45" s="516" customFormat="1" x14ac:dyDescent="0.25">
      <c r="C451" s="478"/>
      <c r="D451" s="478"/>
      <c r="E451" s="473"/>
      <c r="F451" s="473"/>
      <c r="G451" s="509"/>
      <c r="H451" s="478"/>
      <c r="I451" s="478"/>
      <c r="J451" s="478"/>
      <c r="K451" s="478"/>
      <c r="L451" s="478"/>
      <c r="M451" s="510"/>
      <c r="N451" s="510"/>
      <c r="O451" s="510"/>
      <c r="P451" s="511"/>
      <c r="Q451" s="510"/>
      <c r="R451" s="511"/>
      <c r="S451" s="478"/>
      <c r="T451" s="478"/>
      <c r="U451" s="478"/>
      <c r="V451" s="511"/>
      <c r="W451" s="512"/>
      <c r="X451" s="512"/>
      <c r="Y451" s="513"/>
      <c r="Z451" s="512"/>
      <c r="AA451" s="277"/>
      <c r="AB451" s="277"/>
      <c r="AC451" s="277"/>
      <c r="AD451" s="277"/>
      <c r="AE451" s="277"/>
      <c r="AF451" s="277"/>
      <c r="AG451" s="277"/>
      <c r="AH451" s="277"/>
      <c r="AI451" s="277"/>
      <c r="AJ451" s="277"/>
      <c r="AK451" s="277"/>
      <c r="AL451" s="277"/>
      <c r="AM451" s="277"/>
      <c r="AN451" s="277"/>
      <c r="AO451" s="277"/>
      <c r="AP451" s="514"/>
      <c r="AQ451" s="277"/>
      <c r="AR451" s="514"/>
      <c r="AS451" s="515"/>
    </row>
    <row r="452" spans="3:45" s="516" customFormat="1" x14ac:dyDescent="0.25">
      <c r="C452" s="478"/>
      <c r="D452" s="478"/>
      <c r="E452" s="473"/>
      <c r="F452" s="473"/>
      <c r="G452" s="509"/>
      <c r="H452" s="478"/>
      <c r="I452" s="478"/>
      <c r="J452" s="478"/>
      <c r="K452" s="478"/>
      <c r="L452" s="478"/>
      <c r="M452" s="510"/>
      <c r="N452" s="510"/>
      <c r="O452" s="510"/>
      <c r="P452" s="511"/>
      <c r="Q452" s="510"/>
      <c r="R452" s="511"/>
      <c r="S452" s="478"/>
      <c r="T452" s="478"/>
      <c r="U452" s="478"/>
      <c r="V452" s="511"/>
      <c r="W452" s="512"/>
      <c r="X452" s="512"/>
      <c r="Y452" s="513"/>
      <c r="Z452" s="512"/>
      <c r="AA452" s="277"/>
      <c r="AB452" s="277"/>
      <c r="AC452" s="277"/>
      <c r="AD452" s="277"/>
      <c r="AE452" s="277"/>
      <c r="AF452" s="277"/>
      <c r="AG452" s="277"/>
      <c r="AH452" s="277"/>
      <c r="AI452" s="277"/>
      <c r="AJ452" s="277"/>
      <c r="AK452" s="277"/>
      <c r="AL452" s="277"/>
      <c r="AM452" s="277"/>
      <c r="AN452" s="277"/>
      <c r="AO452" s="277"/>
      <c r="AP452" s="514"/>
      <c r="AQ452" s="277"/>
      <c r="AR452" s="514"/>
      <c r="AS452" s="515"/>
    </row>
    <row r="453" spans="3:45" s="516" customFormat="1" x14ac:dyDescent="0.25">
      <c r="C453" s="478"/>
      <c r="D453" s="478"/>
      <c r="E453" s="473"/>
      <c r="F453" s="473"/>
      <c r="G453" s="509"/>
      <c r="H453" s="478"/>
      <c r="I453" s="478"/>
      <c r="J453" s="478"/>
      <c r="K453" s="478"/>
      <c r="L453" s="478"/>
      <c r="M453" s="510"/>
      <c r="N453" s="510"/>
      <c r="O453" s="510"/>
      <c r="P453" s="511"/>
      <c r="Q453" s="510"/>
      <c r="R453" s="511"/>
      <c r="S453" s="478"/>
      <c r="T453" s="478"/>
      <c r="U453" s="478"/>
      <c r="V453" s="511"/>
      <c r="W453" s="512"/>
      <c r="X453" s="512"/>
      <c r="Y453" s="513"/>
      <c r="Z453" s="512"/>
      <c r="AA453" s="277"/>
      <c r="AB453" s="277"/>
      <c r="AC453" s="277"/>
      <c r="AD453" s="277"/>
      <c r="AE453" s="277"/>
      <c r="AF453" s="277"/>
      <c r="AG453" s="277"/>
      <c r="AH453" s="277"/>
      <c r="AI453" s="277"/>
      <c r="AJ453" s="277"/>
      <c r="AK453" s="277"/>
      <c r="AL453" s="277"/>
      <c r="AM453" s="277"/>
      <c r="AN453" s="277"/>
      <c r="AO453" s="277"/>
      <c r="AP453" s="514"/>
      <c r="AQ453" s="277"/>
      <c r="AR453" s="514"/>
      <c r="AS453" s="515"/>
    </row>
    <row r="454" spans="3:45" s="516" customFormat="1" x14ac:dyDescent="0.25">
      <c r="C454" s="478"/>
      <c r="D454" s="478"/>
      <c r="E454" s="473"/>
      <c r="F454" s="473"/>
      <c r="G454" s="509"/>
      <c r="H454" s="478"/>
      <c r="I454" s="478"/>
      <c r="J454" s="478"/>
      <c r="K454" s="478"/>
      <c r="L454" s="478"/>
      <c r="M454" s="510"/>
      <c r="N454" s="510"/>
      <c r="O454" s="510"/>
      <c r="P454" s="511"/>
      <c r="Q454" s="510"/>
      <c r="R454" s="511"/>
      <c r="S454" s="478"/>
      <c r="T454" s="478"/>
      <c r="U454" s="478"/>
      <c r="V454" s="511"/>
      <c r="W454" s="512"/>
      <c r="X454" s="512"/>
      <c r="Y454" s="513"/>
      <c r="Z454" s="512"/>
      <c r="AA454" s="277"/>
      <c r="AB454" s="277"/>
      <c r="AC454" s="277"/>
      <c r="AD454" s="277"/>
      <c r="AE454" s="277"/>
      <c r="AF454" s="277"/>
      <c r="AG454" s="277"/>
      <c r="AH454" s="277"/>
      <c r="AI454" s="277"/>
      <c r="AJ454" s="277"/>
      <c r="AK454" s="277"/>
      <c r="AL454" s="277"/>
      <c r="AM454" s="277"/>
      <c r="AN454" s="277"/>
      <c r="AO454" s="277"/>
      <c r="AP454" s="514"/>
      <c r="AQ454" s="277"/>
      <c r="AR454" s="514"/>
      <c r="AS454" s="515"/>
    </row>
    <row r="455" spans="3:45" s="516" customFormat="1" x14ac:dyDescent="0.25">
      <c r="C455" s="478"/>
      <c r="D455" s="478"/>
      <c r="E455" s="473"/>
      <c r="F455" s="473"/>
      <c r="G455" s="509"/>
      <c r="H455" s="478"/>
      <c r="I455" s="478"/>
      <c r="J455" s="478"/>
      <c r="K455" s="478"/>
      <c r="L455" s="478"/>
      <c r="M455" s="510"/>
      <c r="N455" s="510"/>
      <c r="O455" s="510"/>
      <c r="P455" s="511"/>
      <c r="Q455" s="510"/>
      <c r="R455" s="511"/>
      <c r="S455" s="478"/>
      <c r="T455" s="478"/>
      <c r="U455" s="478"/>
      <c r="V455" s="511"/>
      <c r="W455" s="512"/>
      <c r="X455" s="512"/>
      <c r="Y455" s="513"/>
      <c r="Z455" s="512"/>
      <c r="AA455" s="277"/>
      <c r="AB455" s="277"/>
      <c r="AC455" s="277"/>
      <c r="AD455" s="277"/>
      <c r="AE455" s="277"/>
      <c r="AF455" s="277"/>
      <c r="AG455" s="277"/>
      <c r="AH455" s="277"/>
      <c r="AI455" s="277"/>
      <c r="AJ455" s="277"/>
      <c r="AK455" s="277"/>
      <c r="AL455" s="277"/>
      <c r="AM455" s="277"/>
      <c r="AN455" s="277"/>
      <c r="AO455" s="277"/>
      <c r="AP455" s="514"/>
      <c r="AQ455" s="277"/>
      <c r="AR455" s="514"/>
      <c r="AS455" s="515"/>
    </row>
    <row r="456" spans="3:45" s="516" customFormat="1" x14ac:dyDescent="0.25">
      <c r="C456" s="478"/>
      <c r="D456" s="478"/>
      <c r="E456" s="473"/>
      <c r="F456" s="473"/>
      <c r="G456" s="509"/>
      <c r="H456" s="478"/>
      <c r="I456" s="478"/>
      <c r="J456" s="478"/>
      <c r="K456" s="478"/>
      <c r="L456" s="478"/>
      <c r="M456" s="510"/>
      <c r="N456" s="510"/>
      <c r="O456" s="510"/>
      <c r="P456" s="511"/>
      <c r="Q456" s="510"/>
      <c r="R456" s="511"/>
      <c r="S456" s="478"/>
      <c r="T456" s="478"/>
      <c r="U456" s="478"/>
      <c r="V456" s="511"/>
      <c r="W456" s="512"/>
      <c r="X456" s="512"/>
      <c r="Y456" s="513"/>
      <c r="Z456" s="512"/>
      <c r="AA456" s="277"/>
      <c r="AB456" s="277"/>
      <c r="AC456" s="277"/>
      <c r="AD456" s="277"/>
      <c r="AE456" s="277"/>
      <c r="AF456" s="277"/>
      <c r="AG456" s="277"/>
      <c r="AH456" s="277"/>
      <c r="AI456" s="277"/>
      <c r="AJ456" s="277"/>
      <c r="AK456" s="277"/>
      <c r="AL456" s="277"/>
      <c r="AM456" s="277"/>
      <c r="AN456" s="277"/>
      <c r="AO456" s="277"/>
      <c r="AP456" s="514"/>
      <c r="AQ456" s="277"/>
      <c r="AR456" s="514"/>
      <c r="AS456" s="515"/>
    </row>
    <row r="457" spans="3:45" s="516" customFormat="1" x14ac:dyDescent="0.25">
      <c r="C457" s="478"/>
      <c r="D457" s="478"/>
      <c r="E457" s="473"/>
      <c r="F457" s="473"/>
      <c r="G457" s="509"/>
      <c r="H457" s="478"/>
      <c r="I457" s="478"/>
      <c r="J457" s="478"/>
      <c r="K457" s="478"/>
      <c r="L457" s="478"/>
      <c r="M457" s="510"/>
      <c r="N457" s="510"/>
      <c r="O457" s="510"/>
      <c r="P457" s="511"/>
      <c r="Q457" s="510"/>
      <c r="R457" s="511"/>
      <c r="S457" s="478"/>
      <c r="T457" s="478"/>
      <c r="U457" s="478"/>
      <c r="V457" s="511"/>
      <c r="W457" s="512"/>
      <c r="X457" s="512"/>
      <c r="Y457" s="513"/>
      <c r="Z457" s="512"/>
      <c r="AA457" s="277"/>
      <c r="AB457" s="277"/>
      <c r="AC457" s="277"/>
      <c r="AD457" s="277"/>
      <c r="AE457" s="277"/>
      <c r="AF457" s="277"/>
      <c r="AG457" s="277"/>
      <c r="AH457" s="277"/>
      <c r="AI457" s="277"/>
      <c r="AJ457" s="277"/>
      <c r="AK457" s="277"/>
      <c r="AL457" s="277"/>
      <c r="AM457" s="277"/>
      <c r="AN457" s="277"/>
      <c r="AO457" s="277"/>
      <c r="AP457" s="514"/>
      <c r="AQ457" s="277"/>
      <c r="AR457" s="514"/>
      <c r="AS457" s="515"/>
    </row>
    <row r="458" spans="3:45" s="516" customFormat="1" x14ac:dyDescent="0.25">
      <c r="C458" s="478"/>
      <c r="D458" s="478"/>
      <c r="E458" s="473"/>
      <c r="F458" s="473"/>
      <c r="G458" s="509"/>
      <c r="H458" s="478"/>
      <c r="I458" s="478"/>
      <c r="J458" s="478"/>
      <c r="K458" s="478"/>
      <c r="L458" s="478"/>
      <c r="M458" s="510"/>
      <c r="N458" s="510"/>
      <c r="O458" s="510"/>
      <c r="P458" s="511"/>
      <c r="Q458" s="510"/>
      <c r="R458" s="511"/>
      <c r="S458" s="478"/>
      <c r="T458" s="478"/>
      <c r="U458" s="478"/>
      <c r="V458" s="511"/>
      <c r="W458" s="512"/>
      <c r="X458" s="512"/>
      <c r="Y458" s="513"/>
      <c r="Z458" s="512"/>
      <c r="AA458" s="277"/>
      <c r="AB458" s="277"/>
      <c r="AC458" s="277"/>
      <c r="AD458" s="277"/>
      <c r="AE458" s="277"/>
      <c r="AF458" s="277"/>
      <c r="AG458" s="277"/>
      <c r="AH458" s="277"/>
      <c r="AI458" s="277"/>
      <c r="AJ458" s="277"/>
      <c r="AK458" s="277"/>
      <c r="AL458" s="277"/>
      <c r="AM458" s="277"/>
      <c r="AN458" s="277"/>
      <c r="AO458" s="277"/>
      <c r="AP458" s="514"/>
      <c r="AQ458" s="277"/>
      <c r="AR458" s="514"/>
      <c r="AS458" s="515"/>
    </row>
    <row r="459" spans="3:45" s="516" customFormat="1" x14ac:dyDescent="0.25">
      <c r="C459" s="478"/>
      <c r="D459" s="478"/>
      <c r="E459" s="473"/>
      <c r="F459" s="473"/>
      <c r="G459" s="509"/>
      <c r="H459" s="478"/>
      <c r="I459" s="478"/>
      <c r="J459" s="478"/>
      <c r="K459" s="478"/>
      <c r="L459" s="478"/>
      <c r="M459" s="510"/>
      <c r="N459" s="510"/>
      <c r="O459" s="510"/>
      <c r="P459" s="511"/>
      <c r="Q459" s="510"/>
      <c r="R459" s="511"/>
      <c r="S459" s="478"/>
      <c r="T459" s="478"/>
      <c r="U459" s="478"/>
      <c r="V459" s="511"/>
      <c r="W459" s="512"/>
      <c r="X459" s="512"/>
      <c r="Y459" s="513"/>
      <c r="Z459" s="512"/>
      <c r="AA459" s="277"/>
      <c r="AB459" s="277"/>
      <c r="AC459" s="277"/>
      <c r="AD459" s="277"/>
      <c r="AE459" s="277"/>
      <c r="AF459" s="277"/>
      <c r="AG459" s="277"/>
      <c r="AH459" s="277"/>
      <c r="AI459" s="277"/>
      <c r="AJ459" s="277"/>
      <c r="AK459" s="277"/>
      <c r="AL459" s="277"/>
      <c r="AM459" s="277"/>
      <c r="AN459" s="277"/>
      <c r="AO459" s="277"/>
      <c r="AP459" s="514"/>
      <c r="AQ459" s="277"/>
      <c r="AR459" s="514"/>
      <c r="AS459" s="515"/>
    </row>
    <row r="460" spans="3:45" s="516" customFormat="1" x14ac:dyDescent="0.25">
      <c r="C460" s="478"/>
      <c r="D460" s="478"/>
      <c r="E460" s="473"/>
      <c r="F460" s="473"/>
      <c r="G460" s="509"/>
      <c r="H460" s="478"/>
      <c r="I460" s="478"/>
      <c r="J460" s="478"/>
      <c r="K460" s="478"/>
      <c r="L460" s="478"/>
      <c r="M460" s="510"/>
      <c r="N460" s="510"/>
      <c r="O460" s="510"/>
      <c r="P460" s="511"/>
      <c r="Q460" s="510"/>
      <c r="R460" s="511"/>
      <c r="S460" s="478"/>
      <c r="T460" s="478"/>
      <c r="U460" s="478"/>
      <c r="V460" s="511"/>
      <c r="W460" s="512"/>
      <c r="X460" s="512"/>
      <c r="Y460" s="513"/>
      <c r="Z460" s="512"/>
      <c r="AA460" s="277"/>
      <c r="AB460" s="277"/>
      <c r="AC460" s="277"/>
      <c r="AD460" s="277"/>
      <c r="AE460" s="277"/>
      <c r="AF460" s="277"/>
      <c r="AG460" s="277"/>
      <c r="AH460" s="277"/>
      <c r="AI460" s="277"/>
      <c r="AJ460" s="277"/>
      <c r="AK460" s="277"/>
      <c r="AL460" s="277"/>
      <c r="AM460" s="277"/>
      <c r="AN460" s="277"/>
      <c r="AO460" s="277"/>
      <c r="AP460" s="514"/>
      <c r="AQ460" s="277"/>
      <c r="AR460" s="514"/>
      <c r="AS460" s="515"/>
    </row>
    <row r="461" spans="3:45" s="516" customFormat="1" x14ac:dyDescent="0.25">
      <c r="C461" s="478"/>
      <c r="D461" s="478"/>
      <c r="E461" s="473"/>
      <c r="F461" s="473"/>
      <c r="G461" s="509"/>
      <c r="H461" s="478"/>
      <c r="I461" s="478"/>
      <c r="J461" s="478"/>
      <c r="K461" s="478"/>
      <c r="L461" s="478"/>
      <c r="M461" s="510"/>
      <c r="N461" s="510"/>
      <c r="O461" s="510"/>
      <c r="P461" s="511"/>
      <c r="Q461" s="510"/>
      <c r="R461" s="511"/>
      <c r="S461" s="478"/>
      <c r="T461" s="478"/>
      <c r="U461" s="478"/>
      <c r="V461" s="511"/>
      <c r="W461" s="512"/>
      <c r="X461" s="512"/>
      <c r="Y461" s="513"/>
      <c r="Z461" s="512"/>
      <c r="AA461" s="277"/>
      <c r="AB461" s="277"/>
      <c r="AC461" s="277"/>
      <c r="AD461" s="277"/>
      <c r="AE461" s="277"/>
      <c r="AF461" s="277"/>
      <c r="AG461" s="277"/>
      <c r="AH461" s="277"/>
      <c r="AI461" s="277"/>
      <c r="AJ461" s="277"/>
      <c r="AK461" s="277"/>
      <c r="AL461" s="277"/>
      <c r="AM461" s="277"/>
      <c r="AN461" s="277"/>
      <c r="AO461" s="277"/>
      <c r="AP461" s="514"/>
      <c r="AQ461" s="277"/>
      <c r="AR461" s="514"/>
      <c r="AS461" s="515"/>
    </row>
    <row r="462" spans="3:45" s="516" customFormat="1" x14ac:dyDescent="0.25">
      <c r="C462" s="478"/>
      <c r="D462" s="478"/>
      <c r="E462" s="473"/>
      <c r="F462" s="473"/>
      <c r="G462" s="509"/>
      <c r="H462" s="478"/>
      <c r="I462" s="478"/>
      <c r="J462" s="478"/>
      <c r="K462" s="478"/>
      <c r="L462" s="478"/>
      <c r="M462" s="510"/>
      <c r="N462" s="510"/>
      <c r="O462" s="510"/>
      <c r="P462" s="511"/>
      <c r="Q462" s="510"/>
      <c r="R462" s="511"/>
      <c r="S462" s="478"/>
      <c r="T462" s="478"/>
      <c r="U462" s="478"/>
      <c r="V462" s="511"/>
      <c r="W462" s="512"/>
      <c r="X462" s="512"/>
      <c r="Y462" s="513"/>
      <c r="Z462" s="512"/>
      <c r="AA462" s="277"/>
      <c r="AB462" s="277"/>
      <c r="AC462" s="277"/>
      <c r="AD462" s="277"/>
      <c r="AE462" s="277"/>
      <c r="AF462" s="277"/>
      <c r="AG462" s="277"/>
      <c r="AH462" s="277"/>
      <c r="AI462" s="277"/>
      <c r="AJ462" s="277"/>
      <c r="AK462" s="277"/>
      <c r="AL462" s="277"/>
      <c r="AM462" s="277"/>
      <c r="AN462" s="277"/>
      <c r="AO462" s="277"/>
      <c r="AP462" s="514"/>
      <c r="AQ462" s="277"/>
      <c r="AR462" s="514"/>
      <c r="AS462" s="515"/>
    </row>
    <row r="463" spans="3:45" s="516" customFormat="1" x14ac:dyDescent="0.25">
      <c r="C463" s="478"/>
      <c r="D463" s="478"/>
      <c r="E463" s="473"/>
      <c r="F463" s="473"/>
      <c r="G463" s="509"/>
      <c r="H463" s="478"/>
      <c r="I463" s="478"/>
      <c r="J463" s="478"/>
      <c r="K463" s="478"/>
      <c r="L463" s="478"/>
      <c r="M463" s="510"/>
      <c r="N463" s="510"/>
      <c r="O463" s="510"/>
      <c r="P463" s="511"/>
      <c r="Q463" s="510"/>
      <c r="R463" s="511"/>
      <c r="S463" s="478"/>
      <c r="T463" s="478"/>
      <c r="U463" s="478"/>
      <c r="V463" s="511"/>
      <c r="W463" s="512"/>
      <c r="X463" s="512"/>
      <c r="Y463" s="513"/>
      <c r="Z463" s="512"/>
      <c r="AA463" s="277"/>
      <c r="AB463" s="277"/>
      <c r="AC463" s="277"/>
      <c r="AD463" s="277"/>
      <c r="AE463" s="277"/>
      <c r="AF463" s="277"/>
      <c r="AG463" s="277"/>
      <c r="AH463" s="277"/>
      <c r="AI463" s="277"/>
      <c r="AJ463" s="277"/>
      <c r="AK463" s="277"/>
      <c r="AL463" s="277"/>
      <c r="AM463" s="277"/>
      <c r="AN463" s="277"/>
      <c r="AO463" s="277"/>
      <c r="AP463" s="514"/>
      <c r="AQ463" s="277"/>
      <c r="AR463" s="514"/>
      <c r="AS463" s="515"/>
    </row>
    <row r="464" spans="3:45" s="516" customFormat="1" x14ac:dyDescent="0.25">
      <c r="C464" s="478"/>
      <c r="D464" s="478"/>
      <c r="E464" s="473"/>
      <c r="F464" s="473"/>
      <c r="G464" s="509"/>
      <c r="H464" s="478"/>
      <c r="I464" s="478"/>
      <c r="J464" s="478"/>
      <c r="K464" s="478"/>
      <c r="L464" s="478"/>
      <c r="M464" s="510"/>
      <c r="N464" s="510"/>
      <c r="O464" s="510"/>
      <c r="P464" s="511"/>
      <c r="Q464" s="510"/>
      <c r="R464" s="511"/>
      <c r="S464" s="478"/>
      <c r="T464" s="478"/>
      <c r="U464" s="478"/>
      <c r="V464" s="511"/>
      <c r="W464" s="512"/>
      <c r="X464" s="512"/>
      <c r="Y464" s="513"/>
      <c r="Z464" s="512"/>
      <c r="AA464" s="277"/>
      <c r="AB464" s="277"/>
      <c r="AC464" s="277"/>
      <c r="AD464" s="277"/>
      <c r="AE464" s="277"/>
      <c r="AF464" s="277"/>
      <c r="AG464" s="277"/>
      <c r="AH464" s="277"/>
      <c r="AI464" s="277"/>
      <c r="AJ464" s="277"/>
      <c r="AK464" s="277"/>
      <c r="AL464" s="277"/>
      <c r="AM464" s="277"/>
      <c r="AN464" s="277"/>
      <c r="AO464" s="277"/>
      <c r="AP464" s="514"/>
      <c r="AQ464" s="277"/>
      <c r="AR464" s="514"/>
      <c r="AS464" s="515"/>
    </row>
    <row r="465" spans="3:45" s="516" customFormat="1" x14ac:dyDescent="0.25">
      <c r="C465" s="478"/>
      <c r="D465" s="478"/>
      <c r="E465" s="473"/>
      <c r="F465" s="473"/>
      <c r="G465" s="509"/>
      <c r="H465" s="478"/>
      <c r="I465" s="478"/>
      <c r="J465" s="478"/>
      <c r="K465" s="478"/>
      <c r="L465" s="478"/>
      <c r="M465" s="510"/>
      <c r="N465" s="510"/>
      <c r="O465" s="510"/>
      <c r="P465" s="511"/>
      <c r="Q465" s="510"/>
      <c r="R465" s="511"/>
      <c r="S465" s="478"/>
      <c r="T465" s="478"/>
      <c r="U465" s="478"/>
      <c r="V465" s="511"/>
      <c r="W465" s="512"/>
      <c r="X465" s="512"/>
      <c r="Y465" s="513"/>
      <c r="Z465" s="512"/>
      <c r="AA465" s="277"/>
      <c r="AB465" s="277"/>
      <c r="AC465" s="277"/>
      <c r="AD465" s="277"/>
      <c r="AE465" s="277"/>
      <c r="AF465" s="277"/>
      <c r="AG465" s="277"/>
      <c r="AH465" s="277"/>
      <c r="AI465" s="277"/>
      <c r="AJ465" s="277"/>
      <c r="AK465" s="277"/>
      <c r="AL465" s="277"/>
      <c r="AM465" s="277"/>
      <c r="AN465" s="277"/>
      <c r="AO465" s="277"/>
      <c r="AP465" s="514"/>
      <c r="AQ465" s="277"/>
      <c r="AR465" s="514"/>
      <c r="AS465" s="515"/>
    </row>
    <row r="466" spans="3:45" s="516" customFormat="1" x14ac:dyDescent="0.25">
      <c r="C466" s="478"/>
      <c r="D466" s="478"/>
      <c r="E466" s="473"/>
      <c r="F466" s="473"/>
      <c r="G466" s="509"/>
      <c r="H466" s="478"/>
      <c r="I466" s="478"/>
      <c r="J466" s="478"/>
      <c r="K466" s="478"/>
      <c r="L466" s="478"/>
      <c r="M466" s="510"/>
      <c r="N466" s="510"/>
      <c r="O466" s="510"/>
      <c r="P466" s="511"/>
      <c r="Q466" s="510"/>
      <c r="R466" s="511"/>
      <c r="S466" s="478"/>
      <c r="T466" s="478"/>
      <c r="U466" s="478"/>
      <c r="V466" s="511"/>
      <c r="W466" s="512"/>
      <c r="X466" s="512"/>
      <c r="Y466" s="513"/>
      <c r="Z466" s="512"/>
      <c r="AA466" s="277"/>
      <c r="AB466" s="277"/>
      <c r="AC466" s="277"/>
      <c r="AD466" s="277"/>
      <c r="AE466" s="277"/>
      <c r="AF466" s="277"/>
      <c r="AG466" s="277"/>
      <c r="AH466" s="277"/>
      <c r="AI466" s="277"/>
      <c r="AJ466" s="277"/>
      <c r="AK466" s="277"/>
      <c r="AL466" s="277"/>
      <c r="AM466" s="277"/>
      <c r="AN466" s="277"/>
      <c r="AO466" s="277"/>
      <c r="AP466" s="514"/>
      <c r="AQ466" s="277"/>
      <c r="AR466" s="514"/>
      <c r="AS466" s="515"/>
    </row>
    <row r="467" spans="3:45" s="516" customFormat="1" x14ac:dyDescent="0.25">
      <c r="C467" s="478"/>
      <c r="D467" s="478"/>
      <c r="E467" s="473"/>
      <c r="F467" s="473"/>
      <c r="G467" s="509"/>
      <c r="H467" s="478"/>
      <c r="I467" s="478"/>
      <c r="J467" s="478"/>
      <c r="K467" s="478"/>
      <c r="L467" s="478"/>
      <c r="M467" s="510"/>
      <c r="N467" s="510"/>
      <c r="O467" s="510"/>
      <c r="P467" s="511"/>
      <c r="Q467" s="510"/>
      <c r="R467" s="511"/>
      <c r="S467" s="478"/>
      <c r="T467" s="478"/>
      <c r="U467" s="478"/>
      <c r="V467" s="511"/>
      <c r="W467" s="512"/>
      <c r="X467" s="512"/>
      <c r="Y467" s="513"/>
      <c r="Z467" s="512"/>
      <c r="AA467" s="277"/>
      <c r="AB467" s="277"/>
      <c r="AC467" s="277"/>
      <c r="AD467" s="277"/>
      <c r="AE467" s="277"/>
      <c r="AF467" s="277"/>
      <c r="AG467" s="277"/>
      <c r="AH467" s="277"/>
      <c r="AI467" s="277"/>
      <c r="AJ467" s="277"/>
      <c r="AK467" s="277"/>
      <c r="AL467" s="277"/>
      <c r="AM467" s="277"/>
      <c r="AN467" s="277"/>
      <c r="AO467" s="277"/>
      <c r="AP467" s="514"/>
      <c r="AQ467" s="277"/>
      <c r="AR467" s="514"/>
      <c r="AS467" s="515"/>
    </row>
    <row r="468" spans="3:45" s="516" customFormat="1" x14ac:dyDescent="0.25">
      <c r="C468" s="478"/>
      <c r="D468" s="478"/>
      <c r="E468" s="473"/>
      <c r="F468" s="473"/>
      <c r="G468" s="509"/>
      <c r="H468" s="478"/>
      <c r="I468" s="478"/>
      <c r="J468" s="478"/>
      <c r="K468" s="478"/>
      <c r="L468" s="478"/>
      <c r="M468" s="510"/>
      <c r="N468" s="510"/>
      <c r="O468" s="510"/>
      <c r="P468" s="511"/>
      <c r="Q468" s="510"/>
      <c r="R468" s="511"/>
      <c r="S468" s="478"/>
      <c r="T468" s="478"/>
      <c r="U468" s="478"/>
      <c r="V468" s="511"/>
      <c r="W468" s="512"/>
      <c r="X468" s="512"/>
      <c r="Y468" s="513"/>
      <c r="Z468" s="512"/>
      <c r="AA468" s="277"/>
      <c r="AB468" s="277"/>
      <c r="AC468" s="277"/>
      <c r="AD468" s="277"/>
      <c r="AE468" s="277"/>
      <c r="AF468" s="277"/>
      <c r="AG468" s="277"/>
      <c r="AH468" s="277"/>
      <c r="AI468" s="277"/>
      <c r="AJ468" s="277"/>
      <c r="AK468" s="277"/>
      <c r="AL468" s="277"/>
      <c r="AM468" s="277"/>
      <c r="AN468" s="277"/>
      <c r="AO468" s="277"/>
      <c r="AP468" s="514"/>
      <c r="AQ468" s="277"/>
      <c r="AR468" s="514"/>
      <c r="AS468" s="515"/>
    </row>
    <row r="469" spans="3:45" s="516" customFormat="1" x14ac:dyDescent="0.25">
      <c r="C469" s="478"/>
      <c r="D469" s="478"/>
      <c r="E469" s="473"/>
      <c r="F469" s="473"/>
      <c r="G469" s="509"/>
      <c r="H469" s="478"/>
      <c r="I469" s="478"/>
      <c r="J469" s="478"/>
      <c r="K469" s="478"/>
      <c r="L469" s="478"/>
      <c r="M469" s="510"/>
      <c r="N469" s="510"/>
      <c r="O469" s="510"/>
      <c r="P469" s="511"/>
      <c r="Q469" s="510"/>
      <c r="R469" s="511"/>
      <c r="S469" s="478"/>
      <c r="T469" s="478"/>
      <c r="U469" s="478"/>
      <c r="V469" s="511"/>
      <c r="W469" s="512"/>
      <c r="X469" s="512"/>
      <c r="Y469" s="513"/>
      <c r="Z469" s="512"/>
      <c r="AA469" s="277"/>
      <c r="AB469" s="277"/>
      <c r="AC469" s="277"/>
      <c r="AD469" s="277"/>
      <c r="AE469" s="277"/>
      <c r="AF469" s="277"/>
      <c r="AG469" s="277"/>
      <c r="AH469" s="277"/>
      <c r="AI469" s="277"/>
      <c r="AJ469" s="277"/>
      <c r="AK469" s="277"/>
      <c r="AL469" s="277"/>
      <c r="AM469" s="277"/>
      <c r="AN469" s="277"/>
      <c r="AO469" s="277"/>
      <c r="AP469" s="514"/>
      <c r="AQ469" s="277"/>
      <c r="AR469" s="514"/>
      <c r="AS469" s="515"/>
    </row>
    <row r="470" spans="3:45" s="516" customFormat="1" x14ac:dyDescent="0.25">
      <c r="C470" s="478"/>
      <c r="D470" s="478"/>
      <c r="E470" s="473"/>
      <c r="F470" s="473"/>
      <c r="G470" s="509"/>
      <c r="H470" s="478"/>
      <c r="I470" s="478"/>
      <c r="J470" s="478"/>
      <c r="K470" s="478"/>
      <c r="L470" s="478"/>
      <c r="M470" s="510"/>
      <c r="N470" s="510"/>
      <c r="O470" s="510"/>
      <c r="P470" s="511"/>
      <c r="Q470" s="510"/>
      <c r="R470" s="511"/>
      <c r="S470" s="478"/>
      <c r="T470" s="478"/>
      <c r="U470" s="478"/>
      <c r="V470" s="511"/>
      <c r="W470" s="512"/>
      <c r="X470" s="512"/>
      <c r="Y470" s="513"/>
      <c r="Z470" s="512"/>
      <c r="AA470" s="277"/>
      <c r="AB470" s="277"/>
      <c r="AC470" s="277"/>
      <c r="AD470" s="277"/>
      <c r="AE470" s="277"/>
      <c r="AF470" s="277"/>
      <c r="AG470" s="277"/>
      <c r="AH470" s="277"/>
      <c r="AI470" s="277"/>
      <c r="AJ470" s="277"/>
      <c r="AK470" s="277"/>
      <c r="AL470" s="277"/>
      <c r="AM470" s="277"/>
      <c r="AN470" s="277"/>
      <c r="AO470" s="277"/>
      <c r="AP470" s="514"/>
      <c r="AQ470" s="277"/>
      <c r="AR470" s="514"/>
      <c r="AS470" s="515"/>
    </row>
    <row r="471" spans="3:45" s="516" customFormat="1" x14ac:dyDescent="0.25">
      <c r="C471" s="478"/>
      <c r="D471" s="478"/>
      <c r="E471" s="473"/>
      <c r="F471" s="473"/>
      <c r="G471" s="509"/>
      <c r="H471" s="478"/>
      <c r="I471" s="478"/>
      <c r="J471" s="478"/>
      <c r="K471" s="478"/>
      <c r="L471" s="478"/>
      <c r="M471" s="510"/>
      <c r="N471" s="510"/>
      <c r="O471" s="510"/>
      <c r="P471" s="511"/>
      <c r="Q471" s="510"/>
      <c r="R471" s="511"/>
      <c r="S471" s="478"/>
      <c r="T471" s="478"/>
      <c r="U471" s="478"/>
      <c r="V471" s="511"/>
      <c r="W471" s="512"/>
      <c r="X471" s="512"/>
      <c r="Y471" s="513"/>
      <c r="Z471" s="512"/>
      <c r="AA471" s="277"/>
      <c r="AB471" s="277"/>
      <c r="AC471" s="277"/>
      <c r="AD471" s="277"/>
      <c r="AE471" s="277"/>
      <c r="AF471" s="277"/>
      <c r="AG471" s="277"/>
      <c r="AH471" s="277"/>
      <c r="AI471" s="277"/>
      <c r="AJ471" s="277"/>
      <c r="AK471" s="277"/>
      <c r="AL471" s="277"/>
      <c r="AM471" s="277"/>
      <c r="AN471" s="277"/>
      <c r="AO471" s="277"/>
      <c r="AP471" s="514"/>
      <c r="AQ471" s="277"/>
      <c r="AR471" s="514"/>
      <c r="AS471" s="515"/>
    </row>
    <row r="472" spans="3:45" s="516" customFormat="1" x14ac:dyDescent="0.25">
      <c r="C472" s="478"/>
      <c r="D472" s="478"/>
      <c r="E472" s="473"/>
      <c r="F472" s="473"/>
      <c r="G472" s="509"/>
      <c r="H472" s="478"/>
      <c r="I472" s="478"/>
      <c r="J472" s="478"/>
      <c r="K472" s="478"/>
      <c r="L472" s="478"/>
      <c r="M472" s="510"/>
      <c r="N472" s="510"/>
      <c r="O472" s="510"/>
      <c r="P472" s="511"/>
      <c r="Q472" s="510"/>
      <c r="R472" s="511"/>
      <c r="S472" s="478"/>
      <c r="T472" s="478"/>
      <c r="U472" s="478"/>
      <c r="V472" s="511"/>
      <c r="W472" s="512"/>
      <c r="X472" s="512"/>
      <c r="Y472" s="513"/>
      <c r="Z472" s="512"/>
      <c r="AA472" s="277"/>
      <c r="AB472" s="277"/>
      <c r="AC472" s="277"/>
      <c r="AD472" s="277"/>
      <c r="AE472" s="277"/>
      <c r="AF472" s="277"/>
      <c r="AG472" s="277"/>
      <c r="AH472" s="277"/>
      <c r="AI472" s="277"/>
      <c r="AJ472" s="277"/>
      <c r="AK472" s="277"/>
      <c r="AL472" s="277"/>
      <c r="AM472" s="277"/>
      <c r="AN472" s="277"/>
      <c r="AO472" s="277"/>
      <c r="AP472" s="514"/>
      <c r="AQ472" s="277"/>
      <c r="AR472" s="514"/>
      <c r="AS472" s="515"/>
    </row>
    <row r="473" spans="3:45" s="516" customFormat="1" x14ac:dyDescent="0.25">
      <c r="C473" s="478"/>
      <c r="D473" s="478"/>
      <c r="E473" s="473"/>
      <c r="F473" s="473"/>
      <c r="G473" s="509"/>
      <c r="H473" s="478"/>
      <c r="I473" s="478"/>
      <c r="J473" s="478"/>
      <c r="K473" s="478"/>
      <c r="L473" s="478"/>
      <c r="M473" s="510"/>
      <c r="N473" s="510"/>
      <c r="O473" s="510"/>
      <c r="P473" s="511"/>
      <c r="Q473" s="510"/>
      <c r="R473" s="511"/>
      <c r="S473" s="478"/>
      <c r="T473" s="478"/>
      <c r="U473" s="478"/>
      <c r="V473" s="511"/>
      <c r="W473" s="512"/>
      <c r="X473" s="512"/>
      <c r="Y473" s="513"/>
      <c r="Z473" s="512"/>
      <c r="AA473" s="277"/>
      <c r="AB473" s="277"/>
      <c r="AC473" s="277"/>
      <c r="AD473" s="277"/>
      <c r="AE473" s="277"/>
      <c r="AF473" s="277"/>
      <c r="AG473" s="277"/>
      <c r="AH473" s="277"/>
      <c r="AI473" s="277"/>
      <c r="AJ473" s="277"/>
      <c r="AK473" s="277"/>
      <c r="AL473" s="277"/>
      <c r="AM473" s="277"/>
      <c r="AN473" s="277"/>
      <c r="AO473" s="277"/>
      <c r="AP473" s="514"/>
      <c r="AQ473" s="277"/>
      <c r="AR473" s="514"/>
      <c r="AS473" s="515"/>
    </row>
    <row r="474" spans="3:45" s="516" customFormat="1" x14ac:dyDescent="0.25">
      <c r="C474" s="478"/>
      <c r="D474" s="478"/>
      <c r="E474" s="473"/>
      <c r="F474" s="473"/>
      <c r="G474" s="509"/>
      <c r="H474" s="478"/>
      <c r="I474" s="478"/>
      <c r="J474" s="478"/>
      <c r="K474" s="478"/>
      <c r="L474" s="478"/>
      <c r="M474" s="510"/>
      <c r="N474" s="510"/>
      <c r="O474" s="510"/>
      <c r="P474" s="511"/>
      <c r="Q474" s="510"/>
      <c r="R474" s="511"/>
      <c r="S474" s="478"/>
      <c r="T474" s="478"/>
      <c r="U474" s="478"/>
      <c r="V474" s="511"/>
      <c r="W474" s="512"/>
      <c r="X474" s="512"/>
      <c r="Y474" s="513"/>
      <c r="Z474" s="512"/>
      <c r="AA474" s="277"/>
      <c r="AB474" s="277"/>
      <c r="AC474" s="277"/>
      <c r="AD474" s="277"/>
      <c r="AE474" s="277"/>
      <c r="AF474" s="277"/>
      <c r="AG474" s="277"/>
      <c r="AH474" s="277"/>
      <c r="AI474" s="277"/>
      <c r="AJ474" s="277"/>
      <c r="AK474" s="277"/>
      <c r="AL474" s="277"/>
      <c r="AM474" s="277"/>
      <c r="AN474" s="277"/>
      <c r="AO474" s="277"/>
      <c r="AP474" s="514"/>
      <c r="AQ474" s="277"/>
      <c r="AR474" s="514"/>
      <c r="AS474" s="515"/>
    </row>
    <row r="475" spans="3:45" s="516" customFormat="1" x14ac:dyDescent="0.25">
      <c r="C475" s="478"/>
      <c r="D475" s="478"/>
      <c r="E475" s="473"/>
      <c r="F475" s="473"/>
      <c r="G475" s="509"/>
      <c r="H475" s="478"/>
      <c r="I475" s="478"/>
      <c r="J475" s="478"/>
      <c r="K475" s="478"/>
      <c r="L475" s="478"/>
      <c r="M475" s="510"/>
      <c r="N475" s="510"/>
      <c r="O475" s="510"/>
      <c r="P475" s="511"/>
      <c r="Q475" s="510"/>
      <c r="R475" s="511"/>
      <c r="S475" s="478"/>
      <c r="T475" s="478"/>
      <c r="U475" s="478"/>
      <c r="V475" s="511"/>
      <c r="W475" s="512"/>
      <c r="X475" s="512"/>
      <c r="Y475" s="513"/>
      <c r="Z475" s="512"/>
      <c r="AA475" s="277"/>
      <c r="AB475" s="277"/>
      <c r="AC475" s="277"/>
      <c r="AD475" s="277"/>
      <c r="AE475" s="277"/>
      <c r="AF475" s="277"/>
      <c r="AG475" s="277"/>
      <c r="AH475" s="277"/>
      <c r="AI475" s="277"/>
      <c r="AJ475" s="277"/>
      <c r="AK475" s="277"/>
      <c r="AL475" s="277"/>
      <c r="AM475" s="277"/>
      <c r="AN475" s="277"/>
      <c r="AO475" s="277"/>
      <c r="AP475" s="514"/>
      <c r="AQ475" s="277"/>
      <c r="AR475" s="514"/>
      <c r="AS475" s="515"/>
    </row>
    <row r="476" spans="3:45" s="516" customFormat="1" x14ac:dyDescent="0.25">
      <c r="C476" s="478"/>
      <c r="D476" s="478"/>
      <c r="E476" s="473"/>
      <c r="F476" s="473"/>
      <c r="G476" s="509"/>
      <c r="H476" s="478"/>
      <c r="I476" s="478"/>
      <c r="J476" s="478"/>
      <c r="K476" s="478"/>
      <c r="L476" s="478"/>
      <c r="M476" s="510"/>
      <c r="N476" s="510"/>
      <c r="O476" s="510"/>
      <c r="P476" s="511"/>
      <c r="Q476" s="510"/>
      <c r="R476" s="511"/>
      <c r="S476" s="478"/>
      <c r="T476" s="478"/>
      <c r="U476" s="478"/>
      <c r="V476" s="511"/>
      <c r="W476" s="512"/>
      <c r="X476" s="512"/>
      <c r="Y476" s="513"/>
      <c r="Z476" s="512"/>
      <c r="AA476" s="277"/>
      <c r="AB476" s="277"/>
      <c r="AC476" s="277"/>
      <c r="AD476" s="277"/>
      <c r="AE476" s="277"/>
      <c r="AF476" s="277"/>
      <c r="AG476" s="277"/>
      <c r="AH476" s="277"/>
      <c r="AI476" s="277"/>
      <c r="AJ476" s="277"/>
      <c r="AK476" s="277"/>
      <c r="AL476" s="277"/>
      <c r="AM476" s="277"/>
      <c r="AN476" s="277"/>
      <c r="AO476" s="277"/>
      <c r="AP476" s="514"/>
      <c r="AQ476" s="277"/>
      <c r="AR476" s="514"/>
      <c r="AS476" s="515"/>
    </row>
    <row r="477" spans="3:45" s="516" customFormat="1" x14ac:dyDescent="0.25">
      <c r="C477" s="478"/>
      <c r="D477" s="478"/>
      <c r="E477" s="473"/>
      <c r="F477" s="473"/>
      <c r="G477" s="509"/>
      <c r="H477" s="478"/>
      <c r="I477" s="478"/>
      <c r="J477" s="478"/>
      <c r="K477" s="478"/>
      <c r="L477" s="478"/>
      <c r="M477" s="510"/>
      <c r="N477" s="510"/>
      <c r="O477" s="510"/>
      <c r="P477" s="511"/>
      <c r="Q477" s="510"/>
      <c r="R477" s="511"/>
      <c r="S477" s="478"/>
      <c r="T477" s="478"/>
      <c r="U477" s="478"/>
      <c r="V477" s="511"/>
      <c r="W477" s="512"/>
      <c r="X477" s="512"/>
      <c r="Y477" s="513"/>
      <c r="Z477" s="512"/>
      <c r="AA477" s="277"/>
      <c r="AB477" s="277"/>
      <c r="AC477" s="277"/>
      <c r="AD477" s="277"/>
      <c r="AE477" s="277"/>
      <c r="AF477" s="277"/>
      <c r="AG477" s="277"/>
      <c r="AH477" s="277"/>
      <c r="AI477" s="277"/>
      <c r="AJ477" s="277"/>
      <c r="AK477" s="277"/>
      <c r="AL477" s="277"/>
      <c r="AM477" s="277"/>
      <c r="AN477" s="277"/>
      <c r="AO477" s="277"/>
      <c r="AP477" s="514"/>
      <c r="AQ477" s="277"/>
      <c r="AR477" s="514"/>
      <c r="AS477" s="515"/>
    </row>
    <row r="478" spans="3:45" s="516" customFormat="1" x14ac:dyDescent="0.25">
      <c r="C478" s="478"/>
      <c r="D478" s="478"/>
      <c r="E478" s="473"/>
      <c r="F478" s="473"/>
      <c r="G478" s="509"/>
      <c r="H478" s="478"/>
      <c r="I478" s="478"/>
      <c r="J478" s="478"/>
      <c r="K478" s="478"/>
      <c r="L478" s="478"/>
      <c r="M478" s="510"/>
      <c r="N478" s="510"/>
      <c r="O478" s="510"/>
      <c r="P478" s="511"/>
      <c r="Q478" s="510"/>
      <c r="R478" s="511"/>
      <c r="S478" s="478"/>
      <c r="T478" s="478"/>
      <c r="U478" s="478"/>
      <c r="V478" s="511"/>
      <c r="W478" s="512"/>
      <c r="X478" s="512"/>
      <c r="Y478" s="513"/>
      <c r="Z478" s="512"/>
      <c r="AA478" s="277"/>
      <c r="AB478" s="277"/>
      <c r="AC478" s="277"/>
      <c r="AD478" s="277"/>
      <c r="AE478" s="277"/>
      <c r="AF478" s="277"/>
      <c r="AG478" s="277"/>
      <c r="AH478" s="277"/>
      <c r="AI478" s="277"/>
      <c r="AJ478" s="277"/>
      <c r="AK478" s="277"/>
      <c r="AL478" s="277"/>
      <c r="AM478" s="277"/>
      <c r="AN478" s="277"/>
      <c r="AO478" s="277"/>
      <c r="AP478" s="514"/>
      <c r="AQ478" s="277"/>
      <c r="AR478" s="514"/>
      <c r="AS478" s="515"/>
    </row>
    <row r="479" spans="3:45" s="516" customFormat="1" x14ac:dyDescent="0.25">
      <c r="C479" s="478"/>
      <c r="D479" s="478"/>
      <c r="E479" s="473"/>
      <c r="F479" s="473"/>
      <c r="G479" s="509"/>
      <c r="H479" s="478"/>
      <c r="I479" s="478"/>
      <c r="J479" s="478"/>
      <c r="K479" s="478"/>
      <c r="L479" s="478"/>
      <c r="M479" s="510"/>
      <c r="N479" s="510"/>
      <c r="O479" s="510"/>
      <c r="P479" s="511"/>
      <c r="Q479" s="510"/>
      <c r="R479" s="511"/>
      <c r="S479" s="478"/>
      <c r="T479" s="478"/>
      <c r="U479" s="478"/>
      <c r="V479" s="511"/>
      <c r="W479" s="512"/>
      <c r="X479" s="512"/>
      <c r="Y479" s="513"/>
      <c r="Z479" s="512"/>
      <c r="AA479" s="277"/>
      <c r="AB479" s="277"/>
      <c r="AC479" s="277"/>
      <c r="AD479" s="277"/>
      <c r="AE479" s="277"/>
      <c r="AF479" s="277"/>
      <c r="AG479" s="277"/>
      <c r="AH479" s="277"/>
      <c r="AI479" s="277"/>
      <c r="AJ479" s="277"/>
      <c r="AK479" s="277"/>
      <c r="AL479" s="277"/>
      <c r="AM479" s="277"/>
      <c r="AN479" s="277"/>
      <c r="AO479" s="277"/>
      <c r="AP479" s="514"/>
      <c r="AQ479" s="277"/>
      <c r="AR479" s="514"/>
      <c r="AS479" s="515"/>
    </row>
    <row r="480" spans="3:45" s="516" customFormat="1" x14ac:dyDescent="0.25">
      <c r="C480" s="478"/>
      <c r="D480" s="478"/>
      <c r="E480" s="473"/>
      <c r="F480" s="473"/>
      <c r="G480" s="509"/>
      <c r="H480" s="478"/>
      <c r="I480" s="478"/>
      <c r="J480" s="478"/>
      <c r="K480" s="478"/>
      <c r="L480" s="478"/>
      <c r="M480" s="510"/>
      <c r="N480" s="510"/>
      <c r="O480" s="510"/>
      <c r="P480" s="511"/>
      <c r="Q480" s="510"/>
      <c r="R480" s="511"/>
      <c r="S480" s="478"/>
      <c r="T480" s="478"/>
      <c r="U480" s="478"/>
      <c r="V480" s="511"/>
      <c r="W480" s="512"/>
      <c r="X480" s="512"/>
      <c r="Y480" s="513"/>
      <c r="Z480" s="512"/>
      <c r="AA480" s="277"/>
      <c r="AB480" s="277"/>
      <c r="AC480" s="277"/>
      <c r="AD480" s="277"/>
      <c r="AE480" s="277"/>
      <c r="AF480" s="277"/>
      <c r="AG480" s="277"/>
      <c r="AH480" s="277"/>
      <c r="AI480" s="277"/>
      <c r="AJ480" s="277"/>
      <c r="AK480" s="277"/>
      <c r="AL480" s="277"/>
      <c r="AM480" s="277"/>
      <c r="AN480" s="277"/>
      <c r="AO480" s="277"/>
      <c r="AP480" s="514"/>
      <c r="AQ480" s="277"/>
      <c r="AR480" s="514"/>
      <c r="AS480" s="515"/>
    </row>
    <row r="481" spans="3:45" s="516" customFormat="1" x14ac:dyDescent="0.25">
      <c r="C481" s="478"/>
      <c r="D481" s="478"/>
      <c r="E481" s="473"/>
      <c r="F481" s="473"/>
      <c r="G481" s="509"/>
      <c r="H481" s="478"/>
      <c r="I481" s="478"/>
      <c r="J481" s="478"/>
      <c r="K481" s="478"/>
      <c r="L481" s="478"/>
      <c r="M481" s="510"/>
      <c r="N481" s="510"/>
      <c r="O481" s="510"/>
      <c r="P481" s="511"/>
      <c r="Q481" s="510"/>
      <c r="R481" s="511"/>
      <c r="S481" s="478"/>
      <c r="T481" s="478"/>
      <c r="U481" s="478"/>
      <c r="V481" s="511"/>
      <c r="W481" s="512"/>
      <c r="X481" s="512"/>
      <c r="Y481" s="513"/>
      <c r="Z481" s="512"/>
      <c r="AA481" s="277"/>
      <c r="AB481" s="277"/>
      <c r="AC481" s="277"/>
      <c r="AD481" s="277"/>
      <c r="AE481" s="277"/>
      <c r="AF481" s="277"/>
      <c r="AG481" s="277"/>
      <c r="AH481" s="277"/>
      <c r="AI481" s="277"/>
      <c r="AJ481" s="277"/>
      <c r="AK481" s="277"/>
      <c r="AL481" s="277"/>
      <c r="AM481" s="277"/>
      <c r="AN481" s="277"/>
      <c r="AO481" s="277"/>
      <c r="AP481" s="514"/>
      <c r="AQ481" s="277"/>
      <c r="AR481" s="514"/>
      <c r="AS481" s="515"/>
    </row>
    <row r="482" spans="3:45" s="516" customFormat="1" x14ac:dyDescent="0.25">
      <c r="C482" s="478"/>
      <c r="D482" s="478"/>
      <c r="E482" s="473"/>
      <c r="F482" s="473"/>
      <c r="G482" s="509"/>
      <c r="H482" s="478"/>
      <c r="I482" s="478"/>
      <c r="J482" s="478"/>
      <c r="K482" s="478"/>
      <c r="L482" s="478"/>
      <c r="M482" s="510"/>
      <c r="N482" s="510"/>
      <c r="O482" s="510"/>
      <c r="P482" s="511"/>
      <c r="Q482" s="510"/>
      <c r="R482" s="511"/>
      <c r="S482" s="478"/>
      <c r="T482" s="478"/>
      <c r="U482" s="478"/>
      <c r="V482" s="511"/>
      <c r="W482" s="512"/>
      <c r="X482" s="512"/>
      <c r="Y482" s="513"/>
      <c r="Z482" s="512"/>
      <c r="AA482" s="277"/>
      <c r="AB482" s="277"/>
      <c r="AC482" s="277"/>
      <c r="AD482" s="277"/>
      <c r="AE482" s="277"/>
      <c r="AF482" s="277"/>
      <c r="AG482" s="277"/>
      <c r="AH482" s="277"/>
      <c r="AI482" s="277"/>
      <c r="AJ482" s="277"/>
      <c r="AK482" s="277"/>
      <c r="AL482" s="277"/>
      <c r="AM482" s="277"/>
      <c r="AN482" s="277"/>
      <c r="AO482" s="277"/>
      <c r="AP482" s="514"/>
      <c r="AQ482" s="277"/>
      <c r="AR482" s="514"/>
      <c r="AS482" s="515"/>
    </row>
    <row r="483" spans="3:45" s="516" customFormat="1" x14ac:dyDescent="0.25">
      <c r="C483" s="478"/>
      <c r="D483" s="478"/>
      <c r="E483" s="473"/>
      <c r="F483" s="473"/>
      <c r="G483" s="509"/>
      <c r="H483" s="478"/>
      <c r="I483" s="478"/>
      <c r="J483" s="478"/>
      <c r="K483" s="478"/>
      <c r="L483" s="478"/>
      <c r="M483" s="510"/>
      <c r="N483" s="510"/>
      <c r="O483" s="510"/>
      <c r="P483" s="511"/>
      <c r="Q483" s="510"/>
      <c r="R483" s="511"/>
      <c r="S483" s="478"/>
      <c r="T483" s="478"/>
      <c r="U483" s="478"/>
      <c r="V483" s="511"/>
      <c r="W483" s="512"/>
      <c r="X483" s="512"/>
      <c r="Y483" s="513"/>
      <c r="Z483" s="512"/>
      <c r="AA483" s="277"/>
      <c r="AB483" s="277"/>
      <c r="AC483" s="277"/>
      <c r="AD483" s="277"/>
      <c r="AE483" s="277"/>
      <c r="AF483" s="277"/>
      <c r="AG483" s="277"/>
      <c r="AH483" s="277"/>
      <c r="AI483" s="277"/>
      <c r="AJ483" s="277"/>
      <c r="AK483" s="277"/>
      <c r="AL483" s="277"/>
      <c r="AM483" s="277"/>
      <c r="AN483" s="277"/>
      <c r="AO483" s="277"/>
      <c r="AP483" s="514"/>
      <c r="AQ483" s="277"/>
      <c r="AR483" s="514"/>
      <c r="AS483" s="515"/>
    </row>
    <row r="484" spans="3:45" s="516" customFormat="1" x14ac:dyDescent="0.25">
      <c r="C484" s="478"/>
      <c r="D484" s="478"/>
      <c r="E484" s="473"/>
      <c r="F484" s="473"/>
      <c r="G484" s="509"/>
      <c r="H484" s="478"/>
      <c r="I484" s="478"/>
      <c r="J484" s="478"/>
      <c r="K484" s="478"/>
      <c r="L484" s="478"/>
      <c r="M484" s="510"/>
      <c r="N484" s="510"/>
      <c r="O484" s="510"/>
      <c r="P484" s="511"/>
      <c r="Q484" s="510"/>
      <c r="R484" s="511"/>
      <c r="S484" s="478"/>
      <c r="T484" s="478"/>
      <c r="U484" s="478"/>
      <c r="V484" s="511"/>
      <c r="W484" s="512"/>
      <c r="X484" s="512"/>
      <c r="Y484" s="513"/>
      <c r="Z484" s="512"/>
      <c r="AA484" s="277"/>
      <c r="AB484" s="277"/>
      <c r="AC484" s="277"/>
      <c r="AD484" s="277"/>
      <c r="AE484" s="277"/>
      <c r="AF484" s="277"/>
      <c r="AG484" s="277"/>
      <c r="AH484" s="277"/>
      <c r="AI484" s="277"/>
      <c r="AJ484" s="277"/>
      <c r="AK484" s="277"/>
      <c r="AL484" s="277"/>
      <c r="AM484" s="277"/>
      <c r="AN484" s="277"/>
      <c r="AO484" s="277"/>
      <c r="AP484" s="514"/>
      <c r="AQ484" s="277"/>
      <c r="AR484" s="514"/>
      <c r="AS484" s="515"/>
    </row>
    <row r="485" spans="3:45" s="516" customFormat="1" x14ac:dyDescent="0.25">
      <c r="C485" s="478"/>
      <c r="D485" s="478"/>
      <c r="E485" s="473"/>
      <c r="F485" s="473"/>
      <c r="G485" s="509"/>
      <c r="H485" s="478"/>
      <c r="I485" s="478"/>
      <c r="J485" s="478"/>
      <c r="K485" s="478"/>
      <c r="L485" s="478"/>
      <c r="M485" s="510"/>
      <c r="N485" s="510"/>
      <c r="O485" s="510"/>
      <c r="P485" s="511"/>
      <c r="Q485" s="510"/>
      <c r="R485" s="511"/>
      <c r="S485" s="478"/>
      <c r="T485" s="478"/>
      <c r="U485" s="478"/>
      <c r="V485" s="511"/>
      <c r="W485" s="512"/>
      <c r="X485" s="512"/>
      <c r="Y485" s="513"/>
      <c r="Z485" s="512"/>
      <c r="AA485" s="277"/>
      <c r="AB485" s="277"/>
      <c r="AC485" s="277"/>
      <c r="AD485" s="277"/>
      <c r="AE485" s="277"/>
      <c r="AF485" s="277"/>
      <c r="AG485" s="277"/>
      <c r="AH485" s="277"/>
      <c r="AI485" s="277"/>
      <c r="AJ485" s="277"/>
      <c r="AK485" s="277"/>
      <c r="AL485" s="277"/>
      <c r="AM485" s="277"/>
      <c r="AN485" s="277"/>
      <c r="AO485" s="277"/>
      <c r="AP485" s="514"/>
      <c r="AQ485" s="277"/>
      <c r="AR485" s="514"/>
      <c r="AS485" s="515"/>
    </row>
    <row r="486" spans="3:45" s="516" customFormat="1" x14ac:dyDescent="0.25">
      <c r="C486" s="478"/>
      <c r="D486" s="478"/>
      <c r="E486" s="473"/>
      <c r="F486" s="473"/>
      <c r="G486" s="509"/>
      <c r="H486" s="478"/>
      <c r="I486" s="478"/>
      <c r="J486" s="478"/>
      <c r="K486" s="478"/>
      <c r="L486" s="478"/>
      <c r="M486" s="510"/>
      <c r="N486" s="510"/>
      <c r="O486" s="510"/>
      <c r="P486" s="511"/>
      <c r="Q486" s="510"/>
      <c r="R486" s="511"/>
      <c r="S486" s="478"/>
      <c r="T486" s="478"/>
      <c r="U486" s="478"/>
      <c r="V486" s="511"/>
      <c r="W486" s="512"/>
      <c r="X486" s="512"/>
      <c r="Y486" s="513"/>
      <c r="Z486" s="512"/>
      <c r="AA486" s="277"/>
      <c r="AB486" s="277"/>
      <c r="AC486" s="277"/>
      <c r="AD486" s="277"/>
      <c r="AE486" s="277"/>
      <c r="AF486" s="277"/>
      <c r="AG486" s="277"/>
      <c r="AH486" s="277"/>
      <c r="AI486" s="277"/>
      <c r="AJ486" s="277"/>
      <c r="AK486" s="277"/>
      <c r="AL486" s="277"/>
      <c r="AM486" s="277"/>
      <c r="AN486" s="277"/>
      <c r="AO486" s="277"/>
      <c r="AP486" s="514"/>
      <c r="AQ486" s="277"/>
      <c r="AR486" s="514"/>
      <c r="AS486" s="515"/>
    </row>
    <row r="487" spans="3:45" s="516" customFormat="1" x14ac:dyDescent="0.25">
      <c r="C487" s="478"/>
      <c r="D487" s="478"/>
      <c r="E487" s="473"/>
      <c r="F487" s="473"/>
      <c r="G487" s="509"/>
      <c r="H487" s="478"/>
      <c r="I487" s="478"/>
      <c r="J487" s="478"/>
      <c r="K487" s="478"/>
      <c r="L487" s="478"/>
      <c r="M487" s="510"/>
      <c r="N487" s="510"/>
      <c r="O487" s="510"/>
      <c r="P487" s="511"/>
      <c r="Q487" s="510"/>
      <c r="R487" s="511"/>
      <c r="S487" s="478"/>
      <c r="T487" s="478"/>
      <c r="U487" s="478"/>
      <c r="V487" s="511"/>
      <c r="W487" s="512"/>
      <c r="X487" s="512"/>
      <c r="Y487" s="513"/>
      <c r="Z487" s="512"/>
      <c r="AA487" s="277"/>
      <c r="AB487" s="277"/>
      <c r="AC487" s="277"/>
      <c r="AD487" s="277"/>
      <c r="AE487" s="277"/>
      <c r="AF487" s="277"/>
      <c r="AG487" s="277"/>
      <c r="AH487" s="277"/>
      <c r="AI487" s="277"/>
      <c r="AJ487" s="277"/>
      <c r="AK487" s="277"/>
      <c r="AL487" s="277"/>
      <c r="AM487" s="277"/>
      <c r="AN487" s="277"/>
      <c r="AO487" s="277"/>
      <c r="AP487" s="514"/>
      <c r="AQ487" s="277"/>
      <c r="AR487" s="514"/>
      <c r="AS487" s="515"/>
    </row>
    <row r="488" spans="3:45" s="516" customFormat="1" x14ac:dyDescent="0.25">
      <c r="C488" s="478"/>
      <c r="D488" s="478"/>
      <c r="E488" s="473"/>
      <c r="F488" s="473"/>
      <c r="G488" s="509"/>
      <c r="H488" s="478"/>
      <c r="I488" s="478"/>
      <c r="J488" s="478"/>
      <c r="K488" s="478"/>
      <c r="L488" s="478"/>
      <c r="M488" s="510"/>
      <c r="N488" s="510"/>
      <c r="O488" s="510"/>
      <c r="P488" s="511"/>
      <c r="Q488" s="510"/>
      <c r="R488" s="511"/>
      <c r="S488" s="478"/>
      <c r="T488" s="478"/>
      <c r="U488" s="478"/>
      <c r="V488" s="511"/>
      <c r="W488" s="512"/>
      <c r="X488" s="512"/>
      <c r="Y488" s="513"/>
      <c r="Z488" s="512"/>
      <c r="AA488" s="277"/>
      <c r="AB488" s="277"/>
      <c r="AC488" s="277"/>
      <c r="AD488" s="277"/>
      <c r="AE488" s="277"/>
      <c r="AF488" s="277"/>
      <c r="AG488" s="277"/>
      <c r="AH488" s="277"/>
      <c r="AI488" s="277"/>
      <c r="AJ488" s="277"/>
      <c r="AK488" s="277"/>
      <c r="AL488" s="277"/>
      <c r="AM488" s="277"/>
      <c r="AN488" s="277"/>
      <c r="AO488" s="277"/>
      <c r="AP488" s="514"/>
      <c r="AQ488" s="277"/>
      <c r="AR488" s="514"/>
      <c r="AS488" s="515"/>
    </row>
    <row r="489" spans="3:45" s="516" customFormat="1" x14ac:dyDescent="0.25">
      <c r="C489" s="478"/>
      <c r="D489" s="478"/>
      <c r="E489" s="473"/>
      <c r="F489" s="473"/>
      <c r="G489" s="509"/>
      <c r="H489" s="478"/>
      <c r="I489" s="478"/>
      <c r="J489" s="478"/>
      <c r="K489" s="478"/>
      <c r="L489" s="478"/>
      <c r="M489" s="510"/>
      <c r="N489" s="510"/>
      <c r="O489" s="510"/>
      <c r="P489" s="511"/>
      <c r="Q489" s="510"/>
      <c r="R489" s="511"/>
      <c r="S489" s="478"/>
      <c r="T489" s="478"/>
      <c r="U489" s="478"/>
      <c r="V489" s="511"/>
      <c r="W489" s="512"/>
      <c r="X489" s="512"/>
      <c r="Y489" s="513"/>
      <c r="Z489" s="512"/>
      <c r="AA489" s="277"/>
      <c r="AB489" s="277"/>
      <c r="AC489" s="277"/>
      <c r="AD489" s="277"/>
      <c r="AE489" s="277"/>
      <c r="AF489" s="277"/>
      <c r="AG489" s="277"/>
      <c r="AH489" s="277"/>
      <c r="AI489" s="277"/>
      <c r="AJ489" s="277"/>
      <c r="AK489" s="277"/>
      <c r="AL489" s="277"/>
      <c r="AM489" s="277"/>
      <c r="AN489" s="277"/>
      <c r="AO489" s="277"/>
      <c r="AP489" s="514"/>
      <c r="AQ489" s="277"/>
      <c r="AR489" s="514"/>
      <c r="AS489" s="515"/>
    </row>
    <row r="490" spans="3:45" s="516" customFormat="1" x14ac:dyDescent="0.25">
      <c r="C490" s="478"/>
      <c r="D490" s="478"/>
      <c r="E490" s="473"/>
      <c r="F490" s="473"/>
      <c r="G490" s="509"/>
      <c r="H490" s="478"/>
      <c r="I490" s="478"/>
      <c r="J490" s="478"/>
      <c r="K490" s="478"/>
      <c r="L490" s="478"/>
      <c r="M490" s="510"/>
      <c r="N490" s="510"/>
      <c r="O490" s="510"/>
      <c r="P490" s="511"/>
      <c r="Q490" s="510"/>
      <c r="R490" s="511"/>
      <c r="S490" s="478"/>
      <c r="T490" s="478"/>
      <c r="U490" s="478"/>
      <c r="V490" s="511"/>
      <c r="W490" s="512"/>
      <c r="X490" s="512"/>
      <c r="Y490" s="513"/>
      <c r="Z490" s="512"/>
      <c r="AA490" s="277"/>
      <c r="AB490" s="277"/>
      <c r="AC490" s="277"/>
      <c r="AD490" s="277"/>
      <c r="AE490" s="277"/>
      <c r="AF490" s="277"/>
      <c r="AG490" s="277"/>
      <c r="AH490" s="277"/>
      <c r="AI490" s="277"/>
      <c r="AJ490" s="277"/>
      <c r="AK490" s="277"/>
      <c r="AL490" s="277"/>
      <c r="AM490" s="277"/>
      <c r="AN490" s="277"/>
      <c r="AO490" s="277"/>
      <c r="AP490" s="514"/>
      <c r="AQ490" s="277"/>
      <c r="AR490" s="514"/>
      <c r="AS490" s="515"/>
    </row>
    <row r="491" spans="3:45" s="516" customFormat="1" x14ac:dyDescent="0.25">
      <c r="C491" s="478"/>
      <c r="D491" s="478"/>
      <c r="E491" s="473"/>
      <c r="F491" s="473"/>
      <c r="G491" s="509"/>
      <c r="H491" s="478"/>
      <c r="I491" s="478"/>
      <c r="J491" s="478"/>
      <c r="K491" s="478"/>
      <c r="L491" s="478"/>
      <c r="M491" s="510"/>
      <c r="N491" s="510"/>
      <c r="O491" s="510"/>
      <c r="P491" s="511"/>
      <c r="Q491" s="510"/>
      <c r="R491" s="511"/>
      <c r="S491" s="478"/>
      <c r="T491" s="478"/>
      <c r="U491" s="478"/>
      <c r="V491" s="511"/>
      <c r="W491" s="512"/>
      <c r="X491" s="512"/>
      <c r="Y491" s="513"/>
      <c r="Z491" s="512"/>
      <c r="AA491" s="277"/>
      <c r="AB491" s="277"/>
      <c r="AC491" s="277"/>
      <c r="AD491" s="277"/>
      <c r="AE491" s="277"/>
      <c r="AF491" s="277"/>
      <c r="AG491" s="277"/>
      <c r="AH491" s="277"/>
      <c r="AI491" s="277"/>
      <c r="AJ491" s="277"/>
      <c r="AK491" s="277"/>
      <c r="AL491" s="277"/>
      <c r="AM491" s="277"/>
      <c r="AN491" s="277"/>
      <c r="AO491" s="277"/>
      <c r="AP491" s="514"/>
      <c r="AQ491" s="277"/>
      <c r="AR491" s="514"/>
      <c r="AS491" s="515"/>
    </row>
    <row r="492" spans="3:45" s="516" customFormat="1" x14ac:dyDescent="0.25">
      <c r="C492" s="478"/>
      <c r="D492" s="478"/>
      <c r="E492" s="473"/>
      <c r="F492" s="473"/>
      <c r="G492" s="509"/>
      <c r="H492" s="478"/>
      <c r="I492" s="478"/>
      <c r="J492" s="478"/>
      <c r="K492" s="478"/>
      <c r="L492" s="478"/>
      <c r="M492" s="510"/>
      <c r="N492" s="510"/>
      <c r="O492" s="510"/>
      <c r="P492" s="511"/>
      <c r="Q492" s="510"/>
      <c r="R492" s="511"/>
      <c r="S492" s="478"/>
      <c r="T492" s="478"/>
      <c r="U492" s="478"/>
      <c r="V492" s="511"/>
      <c r="W492" s="512"/>
      <c r="X492" s="512"/>
      <c r="Y492" s="513"/>
      <c r="Z492" s="512"/>
      <c r="AA492" s="277"/>
      <c r="AB492" s="277"/>
      <c r="AC492" s="277"/>
      <c r="AD492" s="277"/>
      <c r="AE492" s="277"/>
      <c r="AF492" s="277"/>
      <c r="AG492" s="277"/>
      <c r="AH492" s="277"/>
      <c r="AI492" s="277"/>
      <c r="AJ492" s="277"/>
      <c r="AK492" s="277"/>
      <c r="AL492" s="277"/>
      <c r="AM492" s="277"/>
      <c r="AN492" s="277"/>
      <c r="AO492" s="277"/>
      <c r="AP492" s="514"/>
      <c r="AQ492" s="277"/>
      <c r="AR492" s="514"/>
      <c r="AS492" s="515"/>
    </row>
    <row r="493" spans="3:45" s="516" customFormat="1" x14ac:dyDescent="0.25">
      <c r="C493" s="478"/>
      <c r="D493" s="478"/>
      <c r="E493" s="473"/>
      <c r="F493" s="473"/>
      <c r="G493" s="509"/>
      <c r="H493" s="478"/>
      <c r="I493" s="478"/>
      <c r="J493" s="478"/>
      <c r="K493" s="478"/>
      <c r="L493" s="478"/>
      <c r="M493" s="510"/>
      <c r="N493" s="510"/>
      <c r="O493" s="510"/>
      <c r="P493" s="511"/>
      <c r="Q493" s="510"/>
      <c r="R493" s="511"/>
      <c r="S493" s="478"/>
      <c r="T493" s="478"/>
      <c r="U493" s="478"/>
      <c r="V493" s="511"/>
      <c r="W493" s="512"/>
      <c r="X493" s="512"/>
      <c r="Y493" s="513"/>
      <c r="Z493" s="512"/>
      <c r="AA493" s="277"/>
      <c r="AB493" s="277"/>
      <c r="AC493" s="277"/>
      <c r="AD493" s="277"/>
      <c r="AE493" s="277"/>
      <c r="AF493" s="277"/>
      <c r="AG493" s="277"/>
      <c r="AH493" s="277"/>
      <c r="AI493" s="277"/>
      <c r="AJ493" s="277"/>
      <c r="AK493" s="277"/>
      <c r="AL493" s="277"/>
      <c r="AM493" s="277"/>
      <c r="AN493" s="277"/>
      <c r="AO493" s="277"/>
      <c r="AP493" s="514"/>
      <c r="AQ493" s="277"/>
      <c r="AR493" s="514"/>
      <c r="AS493" s="515"/>
    </row>
    <row r="494" spans="3:45" s="516" customFormat="1" x14ac:dyDescent="0.25">
      <c r="C494" s="478"/>
      <c r="D494" s="478"/>
      <c r="E494" s="473"/>
      <c r="F494" s="473"/>
      <c r="G494" s="509"/>
      <c r="H494" s="478"/>
      <c r="I494" s="478"/>
      <c r="J494" s="478"/>
      <c r="K494" s="478"/>
      <c r="L494" s="478"/>
      <c r="M494" s="510"/>
      <c r="N494" s="510"/>
      <c r="O494" s="510"/>
      <c r="P494" s="511"/>
      <c r="Q494" s="510"/>
      <c r="R494" s="511"/>
      <c r="S494" s="478"/>
      <c r="T494" s="478"/>
      <c r="U494" s="478"/>
      <c r="V494" s="511"/>
      <c r="W494" s="512"/>
      <c r="X494" s="512"/>
      <c r="Y494" s="513"/>
      <c r="Z494" s="512"/>
      <c r="AA494" s="277"/>
      <c r="AB494" s="277"/>
      <c r="AC494" s="277"/>
      <c r="AD494" s="277"/>
      <c r="AE494" s="277"/>
      <c r="AF494" s="277"/>
      <c r="AG494" s="277"/>
      <c r="AH494" s="277"/>
      <c r="AI494" s="277"/>
      <c r="AJ494" s="277"/>
      <c r="AK494" s="277"/>
      <c r="AL494" s="277"/>
      <c r="AM494" s="277"/>
      <c r="AN494" s="277"/>
      <c r="AO494" s="277"/>
      <c r="AP494" s="514"/>
      <c r="AQ494" s="277"/>
      <c r="AR494" s="514"/>
      <c r="AS494" s="515"/>
    </row>
    <row r="495" spans="3:45" s="516" customFormat="1" x14ac:dyDescent="0.25">
      <c r="C495" s="478"/>
      <c r="D495" s="478"/>
      <c r="E495" s="473"/>
      <c r="F495" s="473"/>
      <c r="G495" s="509"/>
      <c r="H495" s="478"/>
      <c r="I495" s="478"/>
      <c r="J495" s="478"/>
      <c r="K495" s="478"/>
      <c r="L495" s="478"/>
      <c r="M495" s="510"/>
      <c r="N495" s="510"/>
      <c r="O495" s="510"/>
      <c r="P495" s="511"/>
      <c r="Q495" s="510"/>
      <c r="R495" s="511"/>
      <c r="S495" s="478"/>
      <c r="T495" s="478"/>
      <c r="U495" s="478"/>
      <c r="V495" s="511"/>
      <c r="W495" s="512"/>
      <c r="X495" s="512"/>
      <c r="Y495" s="513"/>
      <c r="Z495" s="512"/>
      <c r="AA495" s="277"/>
      <c r="AB495" s="277"/>
      <c r="AC495" s="277"/>
      <c r="AD495" s="277"/>
      <c r="AE495" s="277"/>
      <c r="AF495" s="277"/>
      <c r="AG495" s="277"/>
      <c r="AH495" s="277"/>
      <c r="AI495" s="277"/>
      <c r="AJ495" s="277"/>
      <c r="AK495" s="277"/>
      <c r="AL495" s="277"/>
      <c r="AM495" s="277"/>
      <c r="AN495" s="277"/>
      <c r="AO495" s="277"/>
      <c r="AP495" s="514"/>
      <c r="AQ495" s="277"/>
      <c r="AR495" s="514"/>
      <c r="AS495" s="515"/>
    </row>
    <row r="496" spans="3:45" s="516" customFormat="1" x14ac:dyDescent="0.25">
      <c r="C496" s="478"/>
      <c r="D496" s="478"/>
      <c r="E496" s="473"/>
      <c r="F496" s="473"/>
      <c r="G496" s="509"/>
      <c r="H496" s="478"/>
      <c r="I496" s="478"/>
      <c r="J496" s="478"/>
      <c r="K496" s="478"/>
      <c r="L496" s="478"/>
      <c r="M496" s="510"/>
      <c r="N496" s="510"/>
      <c r="O496" s="510"/>
      <c r="P496" s="511"/>
      <c r="Q496" s="510"/>
      <c r="R496" s="511"/>
      <c r="S496" s="478"/>
      <c r="T496" s="478"/>
      <c r="U496" s="478"/>
      <c r="V496" s="511"/>
      <c r="W496" s="512"/>
      <c r="X496" s="512"/>
      <c r="Y496" s="513"/>
      <c r="Z496" s="512"/>
      <c r="AA496" s="277"/>
      <c r="AB496" s="277"/>
      <c r="AC496" s="277"/>
      <c r="AD496" s="277"/>
      <c r="AE496" s="277"/>
      <c r="AF496" s="277"/>
      <c r="AG496" s="277"/>
      <c r="AH496" s="277"/>
      <c r="AI496" s="277"/>
      <c r="AJ496" s="277"/>
      <c r="AK496" s="277"/>
      <c r="AL496" s="277"/>
      <c r="AM496" s="277"/>
      <c r="AN496" s="277"/>
      <c r="AO496" s="277"/>
      <c r="AP496" s="514"/>
      <c r="AQ496" s="277"/>
      <c r="AR496" s="514"/>
      <c r="AS496" s="515"/>
    </row>
    <row r="497" spans="3:45" s="516" customFormat="1" x14ac:dyDescent="0.25">
      <c r="C497" s="478"/>
      <c r="D497" s="478"/>
      <c r="E497" s="473"/>
      <c r="F497" s="473"/>
      <c r="G497" s="509"/>
      <c r="H497" s="478"/>
      <c r="I497" s="478"/>
      <c r="J497" s="478"/>
      <c r="K497" s="478"/>
      <c r="L497" s="478"/>
      <c r="M497" s="510"/>
      <c r="N497" s="510"/>
      <c r="O497" s="510"/>
      <c r="P497" s="511"/>
      <c r="Q497" s="510"/>
      <c r="R497" s="511"/>
      <c r="S497" s="478"/>
      <c r="T497" s="478"/>
      <c r="U497" s="478"/>
      <c r="V497" s="511"/>
      <c r="W497" s="512"/>
      <c r="X497" s="512"/>
      <c r="Y497" s="513"/>
      <c r="Z497" s="512"/>
      <c r="AA497" s="277"/>
      <c r="AB497" s="277"/>
      <c r="AC497" s="277"/>
      <c r="AD497" s="277"/>
      <c r="AE497" s="277"/>
      <c r="AF497" s="277"/>
      <c r="AG497" s="277"/>
      <c r="AH497" s="277"/>
      <c r="AI497" s="277"/>
      <c r="AJ497" s="277"/>
      <c r="AK497" s="277"/>
      <c r="AL497" s="277"/>
      <c r="AM497" s="277"/>
      <c r="AN497" s="277"/>
      <c r="AO497" s="277"/>
      <c r="AP497" s="514"/>
      <c r="AQ497" s="277"/>
      <c r="AR497" s="514"/>
      <c r="AS497" s="515"/>
    </row>
    <row r="498" spans="3:45" s="516" customFormat="1" x14ac:dyDescent="0.25">
      <c r="C498" s="478"/>
      <c r="D498" s="478"/>
      <c r="E498" s="473"/>
      <c r="F498" s="473"/>
      <c r="G498" s="509"/>
      <c r="H498" s="478"/>
      <c r="I498" s="478"/>
      <c r="J498" s="478"/>
      <c r="K498" s="478"/>
      <c r="L498" s="478"/>
      <c r="M498" s="510"/>
      <c r="N498" s="510"/>
      <c r="O498" s="510"/>
      <c r="P498" s="511"/>
      <c r="Q498" s="510"/>
      <c r="R498" s="511"/>
      <c r="S498" s="478"/>
      <c r="T498" s="478"/>
      <c r="U498" s="478"/>
      <c r="V498" s="511"/>
      <c r="W498" s="512"/>
      <c r="X498" s="512"/>
      <c r="Y498" s="513"/>
      <c r="Z498" s="512"/>
      <c r="AA498" s="277"/>
      <c r="AB498" s="277"/>
      <c r="AC498" s="277"/>
      <c r="AD498" s="277"/>
      <c r="AE498" s="277"/>
      <c r="AF498" s="277"/>
      <c r="AG498" s="277"/>
      <c r="AH498" s="277"/>
      <c r="AI498" s="277"/>
      <c r="AJ498" s="277"/>
      <c r="AK498" s="277"/>
      <c r="AL498" s="277"/>
      <c r="AM498" s="277"/>
      <c r="AN498" s="277"/>
      <c r="AO498" s="277"/>
      <c r="AP498" s="514"/>
      <c r="AQ498" s="277"/>
      <c r="AR498" s="514"/>
      <c r="AS498" s="515"/>
    </row>
    <row r="499" spans="3:45" s="516" customFormat="1" x14ac:dyDescent="0.25">
      <c r="C499" s="478"/>
      <c r="D499" s="478"/>
      <c r="E499" s="473"/>
      <c r="F499" s="473"/>
      <c r="G499" s="509"/>
      <c r="H499" s="478"/>
      <c r="I499" s="478"/>
      <c r="J499" s="478"/>
      <c r="K499" s="478"/>
      <c r="L499" s="478"/>
      <c r="M499" s="510"/>
      <c r="N499" s="510"/>
      <c r="O499" s="510"/>
      <c r="P499" s="511"/>
      <c r="Q499" s="510"/>
      <c r="R499" s="511"/>
      <c r="S499" s="478"/>
      <c r="T499" s="478"/>
      <c r="U499" s="478"/>
      <c r="V499" s="511"/>
      <c r="W499" s="512"/>
      <c r="X499" s="512"/>
      <c r="Y499" s="513"/>
      <c r="Z499" s="512"/>
      <c r="AA499" s="277"/>
      <c r="AB499" s="277"/>
      <c r="AC499" s="277"/>
      <c r="AD499" s="277"/>
      <c r="AE499" s="277"/>
      <c r="AF499" s="277"/>
      <c r="AG499" s="277"/>
      <c r="AH499" s="277"/>
      <c r="AI499" s="277"/>
      <c r="AJ499" s="277"/>
      <c r="AK499" s="277"/>
      <c r="AL499" s="277"/>
      <c r="AM499" s="277"/>
      <c r="AN499" s="277"/>
      <c r="AO499" s="277"/>
      <c r="AP499" s="514"/>
      <c r="AQ499" s="277"/>
      <c r="AR499" s="514"/>
      <c r="AS499" s="515"/>
    </row>
    <row r="500" spans="3:45" s="516" customFormat="1" x14ac:dyDescent="0.25">
      <c r="C500" s="478"/>
      <c r="D500" s="478"/>
      <c r="E500" s="473"/>
      <c r="F500" s="473"/>
      <c r="G500" s="509"/>
      <c r="H500" s="478"/>
      <c r="I500" s="478"/>
      <c r="J500" s="478"/>
      <c r="K500" s="478"/>
      <c r="L500" s="478"/>
      <c r="M500" s="510"/>
      <c r="N500" s="510"/>
      <c r="O500" s="510"/>
      <c r="P500" s="511"/>
      <c r="Q500" s="510"/>
      <c r="R500" s="511"/>
      <c r="S500" s="478"/>
      <c r="T500" s="478"/>
      <c r="U500" s="478"/>
      <c r="V500" s="511"/>
      <c r="W500" s="512"/>
      <c r="X500" s="512"/>
      <c r="Y500" s="513"/>
      <c r="Z500" s="512"/>
      <c r="AA500" s="277"/>
      <c r="AB500" s="277"/>
      <c r="AC500" s="277"/>
      <c r="AD500" s="277"/>
      <c r="AE500" s="277"/>
      <c r="AF500" s="277"/>
      <c r="AG500" s="277"/>
      <c r="AH500" s="277"/>
      <c r="AI500" s="277"/>
      <c r="AJ500" s="277"/>
      <c r="AK500" s="277"/>
      <c r="AL500" s="277"/>
      <c r="AM500" s="277"/>
      <c r="AN500" s="277"/>
      <c r="AO500" s="277"/>
      <c r="AP500" s="514"/>
      <c r="AQ500" s="277"/>
      <c r="AR500" s="514"/>
      <c r="AS500" s="515"/>
    </row>
    <row r="501" spans="3:45" s="516" customFormat="1" x14ac:dyDescent="0.25">
      <c r="C501" s="478"/>
      <c r="D501" s="478"/>
      <c r="E501" s="473"/>
      <c r="F501" s="473"/>
      <c r="G501" s="509"/>
      <c r="H501" s="478"/>
      <c r="I501" s="478"/>
      <c r="J501" s="478"/>
      <c r="K501" s="478"/>
      <c r="L501" s="478"/>
      <c r="M501" s="510"/>
      <c r="N501" s="510"/>
      <c r="O501" s="510"/>
      <c r="P501" s="511"/>
      <c r="Q501" s="510"/>
      <c r="R501" s="511"/>
      <c r="S501" s="478"/>
      <c r="T501" s="478"/>
      <c r="U501" s="478"/>
      <c r="V501" s="511"/>
      <c r="W501" s="512"/>
      <c r="X501" s="512"/>
      <c r="Y501" s="513"/>
      <c r="Z501" s="512"/>
      <c r="AA501" s="277"/>
      <c r="AB501" s="277"/>
      <c r="AC501" s="277"/>
      <c r="AD501" s="277"/>
      <c r="AE501" s="277"/>
      <c r="AF501" s="277"/>
      <c r="AG501" s="277"/>
      <c r="AH501" s="277"/>
      <c r="AI501" s="277"/>
      <c r="AJ501" s="277"/>
      <c r="AK501" s="277"/>
      <c r="AL501" s="277"/>
      <c r="AM501" s="277"/>
      <c r="AN501" s="277"/>
      <c r="AO501" s="277"/>
      <c r="AP501" s="514"/>
      <c r="AQ501" s="277"/>
      <c r="AR501" s="514"/>
      <c r="AS501" s="515"/>
    </row>
    <row r="502" spans="3:45" s="516" customFormat="1" x14ac:dyDescent="0.25">
      <c r="C502" s="478"/>
      <c r="D502" s="478"/>
      <c r="E502" s="473"/>
      <c r="F502" s="473"/>
      <c r="G502" s="509"/>
      <c r="H502" s="478"/>
      <c r="I502" s="478"/>
      <c r="J502" s="478"/>
      <c r="K502" s="478"/>
      <c r="L502" s="478"/>
      <c r="M502" s="510"/>
      <c r="N502" s="510"/>
      <c r="O502" s="510"/>
      <c r="P502" s="511"/>
      <c r="Q502" s="510"/>
      <c r="R502" s="511"/>
      <c r="S502" s="478"/>
      <c r="T502" s="478"/>
      <c r="U502" s="478"/>
      <c r="V502" s="511"/>
      <c r="W502" s="512"/>
      <c r="X502" s="512"/>
      <c r="Y502" s="513"/>
      <c r="Z502" s="512"/>
      <c r="AA502" s="277"/>
      <c r="AB502" s="277"/>
      <c r="AC502" s="277"/>
      <c r="AD502" s="277"/>
      <c r="AE502" s="277"/>
      <c r="AF502" s="277"/>
      <c r="AG502" s="277"/>
      <c r="AH502" s="277"/>
      <c r="AI502" s="277"/>
      <c r="AJ502" s="277"/>
      <c r="AK502" s="277"/>
      <c r="AL502" s="277"/>
      <c r="AM502" s="277"/>
      <c r="AN502" s="277"/>
      <c r="AO502" s="277"/>
      <c r="AP502" s="514"/>
      <c r="AQ502" s="277"/>
      <c r="AR502" s="514"/>
      <c r="AS502" s="515"/>
    </row>
    <row r="503" spans="3:45" s="516" customFormat="1" x14ac:dyDescent="0.25">
      <c r="C503" s="478"/>
      <c r="D503" s="478"/>
      <c r="E503" s="473"/>
      <c r="F503" s="473"/>
      <c r="G503" s="509"/>
      <c r="H503" s="478"/>
      <c r="I503" s="478"/>
      <c r="J503" s="478"/>
      <c r="K503" s="478"/>
      <c r="L503" s="478"/>
      <c r="M503" s="510"/>
      <c r="N503" s="510"/>
      <c r="O503" s="510"/>
      <c r="P503" s="511"/>
      <c r="Q503" s="510"/>
      <c r="R503" s="511"/>
      <c r="S503" s="478"/>
      <c r="T503" s="478"/>
      <c r="U503" s="478"/>
      <c r="V503" s="511"/>
      <c r="W503" s="512"/>
      <c r="X503" s="512"/>
      <c r="Y503" s="513"/>
      <c r="Z503" s="512"/>
      <c r="AA503" s="277"/>
      <c r="AB503" s="277"/>
      <c r="AC503" s="277"/>
      <c r="AD503" s="277"/>
      <c r="AE503" s="277"/>
      <c r="AF503" s="277"/>
      <c r="AG503" s="277"/>
      <c r="AH503" s="277"/>
      <c r="AI503" s="277"/>
      <c r="AJ503" s="277"/>
      <c r="AK503" s="277"/>
      <c r="AL503" s="277"/>
      <c r="AM503" s="277"/>
      <c r="AN503" s="277"/>
      <c r="AO503" s="277"/>
      <c r="AP503" s="514"/>
      <c r="AQ503" s="277"/>
      <c r="AR503" s="514"/>
      <c r="AS503" s="515"/>
    </row>
    <row r="504" spans="3:45" s="516" customFormat="1" x14ac:dyDescent="0.25">
      <c r="C504" s="478"/>
      <c r="D504" s="478"/>
      <c r="E504" s="473"/>
      <c r="F504" s="473"/>
      <c r="G504" s="509"/>
      <c r="H504" s="478"/>
      <c r="I504" s="478"/>
      <c r="J504" s="478"/>
      <c r="K504" s="478"/>
      <c r="L504" s="478"/>
      <c r="M504" s="510"/>
      <c r="N504" s="510"/>
      <c r="O504" s="510"/>
      <c r="P504" s="511"/>
      <c r="Q504" s="510"/>
      <c r="R504" s="511"/>
      <c r="S504" s="478"/>
      <c r="T504" s="478"/>
      <c r="U504" s="478"/>
      <c r="V504" s="511"/>
      <c r="W504" s="512"/>
      <c r="X504" s="512"/>
      <c r="Y504" s="513"/>
      <c r="Z504" s="512"/>
      <c r="AA504" s="277"/>
      <c r="AB504" s="277"/>
      <c r="AC504" s="277"/>
      <c r="AD504" s="277"/>
      <c r="AE504" s="277"/>
      <c r="AF504" s="277"/>
      <c r="AG504" s="277"/>
      <c r="AH504" s="277"/>
      <c r="AI504" s="277"/>
      <c r="AJ504" s="277"/>
      <c r="AK504" s="277"/>
      <c r="AL504" s="277"/>
      <c r="AM504" s="277"/>
      <c r="AN504" s="277"/>
      <c r="AO504" s="277"/>
      <c r="AP504" s="514"/>
      <c r="AQ504" s="277"/>
      <c r="AR504" s="514"/>
      <c r="AS504" s="515"/>
    </row>
    <row r="505" spans="3:45" s="516" customFormat="1" x14ac:dyDescent="0.25">
      <c r="C505" s="478"/>
      <c r="D505" s="478"/>
      <c r="E505" s="473"/>
      <c r="F505" s="473"/>
      <c r="G505" s="509"/>
      <c r="H505" s="478"/>
      <c r="I505" s="478"/>
      <c r="J505" s="478"/>
      <c r="K505" s="478"/>
      <c r="L505" s="478"/>
      <c r="M505" s="510"/>
      <c r="N505" s="510"/>
      <c r="O505" s="510"/>
      <c r="P505" s="511"/>
      <c r="Q505" s="510"/>
      <c r="R505" s="511"/>
      <c r="S505" s="478"/>
      <c r="T505" s="478"/>
      <c r="U505" s="478"/>
      <c r="V505" s="511"/>
      <c r="W505" s="512"/>
      <c r="X505" s="512"/>
      <c r="Y505" s="513"/>
      <c r="Z505" s="512"/>
      <c r="AA505" s="277"/>
      <c r="AB505" s="277"/>
      <c r="AC505" s="277"/>
      <c r="AD505" s="277"/>
      <c r="AE505" s="277"/>
      <c r="AF505" s="277"/>
      <c r="AG505" s="277"/>
      <c r="AH505" s="277"/>
      <c r="AI505" s="277"/>
      <c r="AJ505" s="277"/>
      <c r="AK505" s="277"/>
      <c r="AL505" s="277"/>
      <c r="AM505" s="277"/>
      <c r="AN505" s="277"/>
      <c r="AO505" s="277"/>
      <c r="AP505" s="514"/>
      <c r="AQ505" s="277"/>
      <c r="AR505" s="514"/>
      <c r="AS505" s="515"/>
    </row>
    <row r="506" spans="3:45" s="516" customFormat="1" x14ac:dyDescent="0.25">
      <c r="C506" s="478"/>
      <c r="D506" s="478"/>
      <c r="E506" s="473"/>
      <c r="F506" s="473"/>
      <c r="G506" s="509"/>
      <c r="H506" s="478"/>
      <c r="I506" s="478"/>
      <c r="J506" s="478"/>
      <c r="K506" s="478"/>
      <c r="L506" s="478"/>
      <c r="M506" s="510"/>
      <c r="N506" s="510"/>
      <c r="O506" s="510"/>
      <c r="P506" s="511"/>
      <c r="Q506" s="510"/>
      <c r="R506" s="511"/>
      <c r="S506" s="478"/>
      <c r="T506" s="478"/>
      <c r="U506" s="478"/>
      <c r="V506" s="511"/>
      <c r="W506" s="512"/>
      <c r="X506" s="512"/>
      <c r="Y506" s="513"/>
      <c r="Z506" s="512"/>
      <c r="AA506" s="277"/>
      <c r="AB506" s="277"/>
      <c r="AC506" s="277"/>
      <c r="AD506" s="277"/>
      <c r="AE506" s="277"/>
      <c r="AF506" s="277"/>
      <c r="AG506" s="277"/>
      <c r="AH506" s="277"/>
      <c r="AI506" s="277"/>
      <c r="AJ506" s="277"/>
      <c r="AK506" s="277"/>
      <c r="AL506" s="277"/>
      <c r="AM506" s="277"/>
      <c r="AN506" s="277"/>
      <c r="AO506" s="277"/>
      <c r="AP506" s="514"/>
      <c r="AQ506" s="277"/>
      <c r="AR506" s="514"/>
      <c r="AS506" s="515"/>
    </row>
    <row r="507" spans="3:45" s="516" customFormat="1" x14ac:dyDescent="0.25">
      <c r="C507" s="478"/>
      <c r="D507" s="478"/>
      <c r="E507" s="473"/>
      <c r="F507" s="473"/>
      <c r="G507" s="509"/>
      <c r="H507" s="478"/>
      <c r="I507" s="478"/>
      <c r="J507" s="478"/>
      <c r="K507" s="478"/>
      <c r="L507" s="478"/>
      <c r="M507" s="510"/>
      <c r="N507" s="510"/>
      <c r="O507" s="510"/>
      <c r="P507" s="511"/>
      <c r="Q507" s="510"/>
      <c r="R507" s="511"/>
      <c r="S507" s="478"/>
      <c r="T507" s="478"/>
      <c r="U507" s="478"/>
      <c r="V507" s="511"/>
      <c r="W507" s="512"/>
      <c r="X507" s="512"/>
      <c r="Y507" s="513"/>
      <c r="Z507" s="512"/>
      <c r="AA507" s="277"/>
      <c r="AB507" s="277"/>
      <c r="AC507" s="277"/>
      <c r="AD507" s="277"/>
      <c r="AE507" s="277"/>
      <c r="AF507" s="277"/>
      <c r="AG507" s="277"/>
      <c r="AH507" s="277"/>
      <c r="AI507" s="277"/>
      <c r="AJ507" s="277"/>
      <c r="AK507" s="277"/>
      <c r="AL507" s="277"/>
      <c r="AM507" s="277"/>
      <c r="AN507" s="277"/>
      <c r="AO507" s="277"/>
      <c r="AP507" s="514"/>
      <c r="AQ507" s="277"/>
      <c r="AR507" s="514"/>
      <c r="AS507" s="515"/>
    </row>
    <row r="508" spans="3:45" s="516" customFormat="1" x14ac:dyDescent="0.25">
      <c r="C508" s="478"/>
      <c r="D508" s="478"/>
      <c r="E508" s="473"/>
      <c r="F508" s="473"/>
      <c r="G508" s="509"/>
      <c r="H508" s="478"/>
      <c r="I508" s="478"/>
      <c r="J508" s="478"/>
      <c r="K508" s="478"/>
      <c r="L508" s="478"/>
      <c r="M508" s="510"/>
      <c r="N508" s="510"/>
      <c r="O508" s="510"/>
      <c r="P508" s="511"/>
      <c r="Q508" s="510"/>
      <c r="R508" s="511"/>
      <c r="S508" s="478"/>
      <c r="T508" s="478"/>
      <c r="U508" s="478"/>
      <c r="V508" s="511"/>
      <c r="W508" s="512"/>
      <c r="X508" s="512"/>
      <c r="Y508" s="513"/>
      <c r="Z508" s="512"/>
      <c r="AA508" s="277"/>
      <c r="AB508" s="277"/>
      <c r="AC508" s="277"/>
      <c r="AD508" s="277"/>
      <c r="AE508" s="277"/>
      <c r="AF508" s="277"/>
      <c r="AG508" s="277"/>
      <c r="AH508" s="277"/>
      <c r="AI508" s="277"/>
      <c r="AJ508" s="277"/>
      <c r="AK508" s="277"/>
      <c r="AL508" s="277"/>
      <c r="AM508" s="277"/>
      <c r="AN508" s="277"/>
      <c r="AO508" s="277"/>
      <c r="AP508" s="514"/>
      <c r="AQ508" s="277"/>
      <c r="AR508" s="514"/>
      <c r="AS508" s="515"/>
    </row>
    <row r="509" spans="3:45" s="516" customFormat="1" x14ac:dyDescent="0.25">
      <c r="C509" s="478"/>
      <c r="D509" s="478"/>
      <c r="E509" s="473"/>
      <c r="F509" s="473"/>
      <c r="G509" s="509"/>
      <c r="H509" s="478"/>
      <c r="I509" s="478"/>
      <c r="J509" s="478"/>
      <c r="K509" s="478"/>
      <c r="L509" s="478"/>
      <c r="M509" s="510"/>
      <c r="N509" s="510"/>
      <c r="O509" s="510"/>
      <c r="P509" s="511"/>
      <c r="Q509" s="510"/>
      <c r="R509" s="511"/>
      <c r="S509" s="478"/>
      <c r="T509" s="478"/>
      <c r="U509" s="478"/>
      <c r="V509" s="511"/>
      <c r="W509" s="512"/>
      <c r="X509" s="512"/>
      <c r="Y509" s="513"/>
      <c r="Z509" s="512"/>
      <c r="AA509" s="277"/>
      <c r="AB509" s="277"/>
      <c r="AC509" s="277"/>
      <c r="AD509" s="277"/>
      <c r="AE509" s="277"/>
      <c r="AF509" s="277"/>
      <c r="AG509" s="277"/>
      <c r="AH509" s="277"/>
      <c r="AI509" s="277"/>
      <c r="AJ509" s="277"/>
      <c r="AK509" s="277"/>
      <c r="AL509" s="277"/>
      <c r="AM509" s="277"/>
      <c r="AN509" s="277"/>
      <c r="AO509" s="277"/>
      <c r="AP509" s="514"/>
      <c r="AQ509" s="277"/>
      <c r="AR509" s="514"/>
      <c r="AS509" s="515"/>
    </row>
    <row r="510" spans="3:45" s="516" customFormat="1" x14ac:dyDescent="0.25">
      <c r="C510" s="478"/>
      <c r="D510" s="478"/>
      <c r="E510" s="473"/>
      <c r="F510" s="473"/>
      <c r="G510" s="509"/>
      <c r="H510" s="478"/>
      <c r="I510" s="478"/>
      <c r="J510" s="478"/>
      <c r="K510" s="478"/>
      <c r="L510" s="478"/>
      <c r="M510" s="510"/>
      <c r="N510" s="510"/>
      <c r="O510" s="510"/>
      <c r="P510" s="511"/>
      <c r="Q510" s="510"/>
      <c r="R510" s="511"/>
      <c r="S510" s="478"/>
      <c r="T510" s="478"/>
      <c r="U510" s="478"/>
      <c r="V510" s="511"/>
      <c r="W510" s="512"/>
      <c r="X510" s="512"/>
      <c r="Y510" s="513"/>
      <c r="Z510" s="512"/>
      <c r="AA510" s="277"/>
      <c r="AB510" s="277"/>
      <c r="AC510" s="277"/>
      <c r="AD510" s="277"/>
      <c r="AE510" s="277"/>
      <c r="AF510" s="277"/>
      <c r="AG510" s="277"/>
      <c r="AH510" s="277"/>
      <c r="AI510" s="277"/>
      <c r="AJ510" s="277"/>
      <c r="AK510" s="277"/>
      <c r="AL510" s="277"/>
      <c r="AM510" s="277"/>
      <c r="AN510" s="277"/>
      <c r="AO510" s="277"/>
      <c r="AP510" s="514"/>
      <c r="AQ510" s="277"/>
      <c r="AR510" s="514"/>
      <c r="AS510" s="515"/>
    </row>
    <row r="511" spans="3:45" s="516" customFormat="1" x14ac:dyDescent="0.25">
      <c r="C511" s="478"/>
      <c r="D511" s="478"/>
      <c r="E511" s="473"/>
      <c r="F511" s="473"/>
      <c r="G511" s="509"/>
      <c r="H511" s="478"/>
      <c r="I511" s="478"/>
      <c r="J511" s="478"/>
      <c r="K511" s="478"/>
      <c r="L511" s="478"/>
      <c r="M511" s="510"/>
      <c r="N511" s="510"/>
      <c r="O511" s="510"/>
      <c r="P511" s="511"/>
      <c r="Q511" s="510"/>
      <c r="R511" s="511"/>
      <c r="S511" s="478"/>
      <c r="T511" s="478"/>
      <c r="U511" s="478"/>
      <c r="V511" s="511"/>
      <c r="W511" s="512"/>
      <c r="X511" s="512"/>
      <c r="Y511" s="513"/>
      <c r="Z511" s="512"/>
      <c r="AA511" s="277"/>
      <c r="AB511" s="277"/>
      <c r="AC511" s="277"/>
      <c r="AD511" s="277"/>
      <c r="AE511" s="277"/>
      <c r="AF511" s="277"/>
      <c r="AG511" s="277"/>
      <c r="AH511" s="277"/>
      <c r="AI511" s="277"/>
      <c r="AJ511" s="277"/>
      <c r="AK511" s="277"/>
      <c r="AL511" s="277"/>
      <c r="AM511" s="277"/>
      <c r="AN511" s="277"/>
      <c r="AO511" s="277"/>
      <c r="AP511" s="514"/>
      <c r="AQ511" s="277"/>
      <c r="AR511" s="514"/>
      <c r="AS511" s="515"/>
    </row>
    <row r="512" spans="3:45" s="516" customFormat="1" x14ac:dyDescent="0.25">
      <c r="C512" s="478"/>
      <c r="D512" s="478"/>
      <c r="E512" s="473"/>
      <c r="F512" s="473"/>
      <c r="G512" s="509"/>
      <c r="H512" s="478"/>
      <c r="I512" s="478"/>
      <c r="J512" s="478"/>
      <c r="K512" s="478"/>
      <c r="L512" s="478"/>
      <c r="M512" s="510"/>
      <c r="N512" s="510"/>
      <c r="O512" s="510"/>
      <c r="P512" s="511"/>
      <c r="Q512" s="510"/>
      <c r="R512" s="511"/>
      <c r="S512" s="478"/>
      <c r="T512" s="478"/>
      <c r="U512" s="478"/>
      <c r="V512" s="511"/>
      <c r="W512" s="512"/>
      <c r="X512" s="512"/>
      <c r="Y512" s="513"/>
      <c r="Z512" s="512"/>
      <c r="AA512" s="277"/>
      <c r="AB512" s="277"/>
      <c r="AC512" s="277"/>
      <c r="AD512" s="277"/>
      <c r="AE512" s="277"/>
      <c r="AF512" s="277"/>
      <c r="AG512" s="277"/>
      <c r="AH512" s="277"/>
      <c r="AI512" s="277"/>
      <c r="AJ512" s="277"/>
      <c r="AK512" s="277"/>
      <c r="AL512" s="277"/>
      <c r="AM512" s="277"/>
      <c r="AN512" s="277"/>
      <c r="AO512" s="277"/>
      <c r="AP512" s="514"/>
      <c r="AQ512" s="277"/>
      <c r="AR512" s="514"/>
      <c r="AS512" s="515"/>
    </row>
    <row r="513" spans="3:45" s="516" customFormat="1" x14ac:dyDescent="0.25">
      <c r="C513" s="478"/>
      <c r="D513" s="478"/>
      <c r="E513" s="473"/>
      <c r="F513" s="473"/>
      <c r="G513" s="509"/>
      <c r="H513" s="478"/>
      <c r="I513" s="478"/>
      <c r="J513" s="478"/>
      <c r="K513" s="478"/>
      <c r="L513" s="478"/>
      <c r="M513" s="510"/>
      <c r="N513" s="510"/>
      <c r="O513" s="510"/>
      <c r="P513" s="511"/>
      <c r="Q513" s="510"/>
      <c r="R513" s="511"/>
      <c r="S513" s="478"/>
      <c r="T513" s="478"/>
      <c r="U513" s="478"/>
      <c r="V513" s="511"/>
      <c r="W513" s="512"/>
      <c r="X513" s="512"/>
      <c r="Y513" s="513"/>
      <c r="Z513" s="512"/>
      <c r="AA513" s="277"/>
      <c r="AB513" s="277"/>
      <c r="AC513" s="277"/>
      <c r="AD513" s="277"/>
      <c r="AE513" s="277"/>
      <c r="AF513" s="277"/>
      <c r="AG513" s="277"/>
      <c r="AH513" s="277"/>
      <c r="AI513" s="277"/>
      <c r="AJ513" s="277"/>
      <c r="AK513" s="277"/>
      <c r="AL513" s="277"/>
      <c r="AM513" s="277"/>
      <c r="AN513" s="277"/>
      <c r="AO513" s="277"/>
      <c r="AP513" s="514"/>
      <c r="AQ513" s="277"/>
      <c r="AR513" s="514"/>
      <c r="AS513" s="515"/>
    </row>
    <row r="514" spans="3:45" s="516" customFormat="1" x14ac:dyDescent="0.25">
      <c r="C514" s="478"/>
      <c r="D514" s="478"/>
      <c r="E514" s="473"/>
      <c r="F514" s="473"/>
      <c r="G514" s="509"/>
      <c r="H514" s="478"/>
      <c r="I514" s="478"/>
      <c r="J514" s="478"/>
      <c r="K514" s="478"/>
      <c r="L514" s="478"/>
      <c r="M514" s="510"/>
      <c r="N514" s="510"/>
      <c r="O514" s="510"/>
      <c r="P514" s="511"/>
      <c r="Q514" s="510"/>
      <c r="R514" s="511"/>
      <c r="S514" s="478"/>
      <c r="T514" s="478"/>
      <c r="U514" s="478"/>
      <c r="V514" s="511"/>
      <c r="W514" s="512"/>
      <c r="X514" s="512"/>
      <c r="Y514" s="513"/>
      <c r="Z514" s="512"/>
      <c r="AA514" s="277"/>
      <c r="AB514" s="277"/>
      <c r="AC514" s="277"/>
      <c r="AD514" s="277"/>
      <c r="AE514" s="277"/>
      <c r="AF514" s="277"/>
      <c r="AG514" s="277"/>
      <c r="AH514" s="277"/>
      <c r="AI514" s="277"/>
      <c r="AJ514" s="277"/>
      <c r="AK514" s="277"/>
      <c r="AL514" s="277"/>
      <c r="AM514" s="277"/>
      <c r="AN514" s="277"/>
      <c r="AO514" s="277"/>
      <c r="AP514" s="514"/>
      <c r="AQ514" s="277"/>
      <c r="AR514" s="514"/>
      <c r="AS514" s="515"/>
    </row>
    <row r="515" spans="3:45" s="516" customFormat="1" x14ac:dyDescent="0.25">
      <c r="C515" s="478"/>
      <c r="D515" s="478"/>
      <c r="E515" s="473"/>
      <c r="F515" s="473"/>
      <c r="G515" s="509"/>
      <c r="H515" s="478"/>
      <c r="I515" s="478"/>
      <c r="J515" s="478"/>
      <c r="K515" s="478"/>
      <c r="L515" s="478"/>
      <c r="M515" s="510"/>
      <c r="N515" s="510"/>
      <c r="O515" s="510"/>
      <c r="P515" s="511"/>
      <c r="Q515" s="510"/>
      <c r="R515" s="511"/>
      <c r="S515" s="478"/>
      <c r="T515" s="478"/>
      <c r="U515" s="478"/>
      <c r="V515" s="511"/>
      <c r="W515" s="512"/>
      <c r="X515" s="512"/>
      <c r="Y515" s="513"/>
      <c r="Z515" s="512"/>
      <c r="AA515" s="277"/>
      <c r="AB515" s="277"/>
      <c r="AC515" s="277"/>
      <c r="AD515" s="277"/>
      <c r="AE515" s="277"/>
      <c r="AF515" s="277"/>
      <c r="AG515" s="277"/>
      <c r="AH515" s="277"/>
      <c r="AI515" s="277"/>
      <c r="AJ515" s="277"/>
      <c r="AK515" s="277"/>
      <c r="AL515" s="277"/>
      <c r="AM515" s="277"/>
      <c r="AN515" s="277"/>
      <c r="AO515" s="277"/>
      <c r="AP515" s="514"/>
      <c r="AQ515" s="277"/>
      <c r="AR515" s="514"/>
      <c r="AS515" s="515"/>
    </row>
    <row r="516" spans="3:45" s="516" customFormat="1" x14ac:dyDescent="0.25">
      <c r="C516" s="478"/>
      <c r="D516" s="478"/>
      <c r="E516" s="473"/>
      <c r="F516" s="473"/>
      <c r="G516" s="509"/>
      <c r="H516" s="478"/>
      <c r="I516" s="478"/>
      <c r="J516" s="478"/>
      <c r="K516" s="478"/>
      <c r="L516" s="478"/>
      <c r="M516" s="510"/>
      <c r="N516" s="510"/>
      <c r="O516" s="510"/>
      <c r="P516" s="511"/>
      <c r="Q516" s="510"/>
      <c r="R516" s="511"/>
      <c r="S516" s="478"/>
      <c r="T516" s="478"/>
      <c r="U516" s="478"/>
      <c r="V516" s="511"/>
      <c r="W516" s="512"/>
      <c r="X516" s="512"/>
      <c r="Y516" s="513"/>
      <c r="Z516" s="512"/>
      <c r="AA516" s="277"/>
      <c r="AB516" s="277"/>
      <c r="AC516" s="277"/>
      <c r="AD516" s="277"/>
      <c r="AE516" s="277"/>
      <c r="AF516" s="277"/>
      <c r="AG516" s="277"/>
      <c r="AH516" s="277"/>
      <c r="AI516" s="277"/>
      <c r="AJ516" s="277"/>
      <c r="AK516" s="277"/>
      <c r="AL516" s="277"/>
      <c r="AM516" s="277"/>
      <c r="AN516" s="277"/>
      <c r="AO516" s="277"/>
      <c r="AP516" s="514"/>
      <c r="AQ516" s="277"/>
      <c r="AR516" s="514"/>
      <c r="AS516" s="515"/>
    </row>
    <row r="517" spans="3:45" s="516" customFormat="1" x14ac:dyDescent="0.25">
      <c r="C517" s="478"/>
      <c r="D517" s="478"/>
      <c r="E517" s="473"/>
      <c r="F517" s="473"/>
      <c r="G517" s="509"/>
      <c r="H517" s="478"/>
      <c r="I517" s="478"/>
      <c r="J517" s="478"/>
      <c r="K517" s="478"/>
      <c r="L517" s="478"/>
      <c r="M517" s="510"/>
      <c r="N517" s="510"/>
      <c r="O517" s="510"/>
      <c r="P517" s="511"/>
      <c r="Q517" s="510"/>
      <c r="R517" s="511"/>
      <c r="S517" s="478"/>
      <c r="T517" s="478"/>
      <c r="U517" s="478"/>
      <c r="V517" s="511"/>
      <c r="W517" s="512"/>
      <c r="X517" s="512"/>
      <c r="Y517" s="513"/>
      <c r="Z517" s="512"/>
      <c r="AA517" s="277"/>
      <c r="AB517" s="277"/>
      <c r="AC517" s="277"/>
      <c r="AD517" s="277"/>
      <c r="AE517" s="277"/>
      <c r="AF517" s="277"/>
      <c r="AG517" s="277"/>
      <c r="AH517" s="277"/>
      <c r="AI517" s="277"/>
      <c r="AJ517" s="277"/>
      <c r="AK517" s="277"/>
      <c r="AL517" s="277"/>
      <c r="AM517" s="277"/>
      <c r="AN517" s="277"/>
      <c r="AO517" s="277"/>
      <c r="AP517" s="514"/>
      <c r="AQ517" s="277"/>
      <c r="AR517" s="514"/>
      <c r="AS517" s="515"/>
    </row>
    <row r="518" spans="3:45" s="516" customFormat="1" x14ac:dyDescent="0.25">
      <c r="C518" s="478"/>
      <c r="D518" s="478"/>
      <c r="E518" s="473"/>
      <c r="F518" s="473"/>
      <c r="G518" s="509"/>
      <c r="H518" s="478"/>
      <c r="I518" s="478"/>
      <c r="J518" s="478"/>
      <c r="K518" s="478"/>
      <c r="L518" s="478"/>
      <c r="M518" s="510"/>
      <c r="N518" s="510"/>
      <c r="O518" s="510"/>
      <c r="P518" s="511"/>
      <c r="Q518" s="510"/>
      <c r="R518" s="511"/>
      <c r="S518" s="478"/>
      <c r="T518" s="478"/>
      <c r="U518" s="478"/>
      <c r="V518" s="511"/>
      <c r="W518" s="512"/>
      <c r="X518" s="512"/>
      <c r="Y518" s="513"/>
      <c r="Z518" s="512"/>
      <c r="AA518" s="277"/>
      <c r="AB518" s="277"/>
      <c r="AC518" s="277"/>
      <c r="AD518" s="277"/>
      <c r="AE518" s="277"/>
      <c r="AF518" s="277"/>
      <c r="AG518" s="277"/>
      <c r="AH518" s="277"/>
      <c r="AI518" s="277"/>
      <c r="AJ518" s="277"/>
      <c r="AK518" s="277"/>
      <c r="AL518" s="277"/>
      <c r="AM518" s="277"/>
      <c r="AN518" s="277"/>
      <c r="AO518" s="277"/>
      <c r="AP518" s="514"/>
      <c r="AQ518" s="277"/>
      <c r="AR518" s="514"/>
      <c r="AS518" s="515"/>
    </row>
    <row r="519" spans="3:45" s="516" customFormat="1" x14ac:dyDescent="0.25">
      <c r="C519" s="478"/>
      <c r="D519" s="478"/>
      <c r="E519" s="473"/>
      <c r="F519" s="473"/>
      <c r="G519" s="509"/>
      <c r="H519" s="478"/>
      <c r="I519" s="478"/>
      <c r="J519" s="478"/>
      <c r="K519" s="478"/>
      <c r="L519" s="478"/>
      <c r="M519" s="510"/>
      <c r="N519" s="510"/>
      <c r="O519" s="510"/>
      <c r="P519" s="511"/>
      <c r="Q519" s="510"/>
      <c r="R519" s="511"/>
      <c r="S519" s="478"/>
      <c r="T519" s="478"/>
      <c r="U519" s="478"/>
      <c r="V519" s="511"/>
      <c r="W519" s="512"/>
      <c r="X519" s="512"/>
      <c r="Y519" s="513"/>
      <c r="Z519" s="512"/>
      <c r="AA519" s="277"/>
      <c r="AB519" s="277"/>
      <c r="AC519" s="277"/>
      <c r="AD519" s="277"/>
      <c r="AE519" s="277"/>
      <c r="AF519" s="277"/>
      <c r="AG519" s="277"/>
      <c r="AH519" s="277"/>
      <c r="AI519" s="277"/>
      <c r="AJ519" s="277"/>
      <c r="AK519" s="277"/>
      <c r="AL519" s="277"/>
      <c r="AM519" s="277"/>
      <c r="AN519" s="277"/>
      <c r="AO519" s="277"/>
      <c r="AP519" s="514"/>
      <c r="AQ519" s="277"/>
      <c r="AR519" s="514"/>
      <c r="AS519" s="515"/>
    </row>
    <row r="520" spans="3:45" s="516" customFormat="1" x14ac:dyDescent="0.25">
      <c r="C520" s="478"/>
      <c r="D520" s="478"/>
      <c r="E520" s="473"/>
      <c r="F520" s="473"/>
      <c r="G520" s="509"/>
      <c r="H520" s="478"/>
      <c r="I520" s="478"/>
      <c r="J520" s="478"/>
      <c r="K520" s="478"/>
      <c r="L520" s="478"/>
      <c r="M520" s="510"/>
      <c r="N520" s="510"/>
      <c r="O520" s="510"/>
      <c r="P520" s="511"/>
      <c r="Q520" s="510"/>
      <c r="R520" s="511"/>
      <c r="S520" s="478"/>
      <c r="T520" s="478"/>
      <c r="U520" s="478"/>
      <c r="V520" s="511"/>
      <c r="W520" s="512"/>
      <c r="X520" s="512"/>
      <c r="Y520" s="513"/>
      <c r="Z520" s="512"/>
      <c r="AA520" s="277"/>
      <c r="AB520" s="277"/>
      <c r="AC520" s="277"/>
      <c r="AD520" s="277"/>
      <c r="AE520" s="277"/>
      <c r="AF520" s="277"/>
      <c r="AG520" s="277"/>
      <c r="AH520" s="277"/>
      <c r="AI520" s="277"/>
      <c r="AJ520" s="277"/>
      <c r="AK520" s="277"/>
      <c r="AL520" s="277"/>
      <c r="AM520" s="277"/>
      <c r="AN520" s="277"/>
      <c r="AO520" s="277"/>
      <c r="AP520" s="514"/>
      <c r="AQ520" s="277"/>
      <c r="AR520" s="514"/>
      <c r="AS520" s="515"/>
    </row>
    <row r="521" spans="3:45" s="516" customFormat="1" x14ac:dyDescent="0.25">
      <c r="C521" s="478"/>
      <c r="D521" s="478"/>
      <c r="E521" s="473"/>
      <c r="F521" s="473"/>
      <c r="G521" s="509"/>
      <c r="H521" s="478"/>
      <c r="I521" s="478"/>
      <c r="J521" s="478"/>
      <c r="K521" s="478"/>
      <c r="L521" s="478"/>
      <c r="M521" s="510"/>
      <c r="N521" s="510"/>
      <c r="O521" s="510"/>
      <c r="P521" s="511"/>
      <c r="Q521" s="510"/>
      <c r="R521" s="511"/>
      <c r="S521" s="478"/>
      <c r="T521" s="478"/>
      <c r="U521" s="478"/>
      <c r="V521" s="511"/>
      <c r="W521" s="512"/>
      <c r="X521" s="512"/>
      <c r="Y521" s="513"/>
      <c r="Z521" s="512"/>
      <c r="AA521" s="277"/>
      <c r="AB521" s="277"/>
      <c r="AC521" s="277"/>
      <c r="AD521" s="277"/>
      <c r="AE521" s="277"/>
      <c r="AF521" s="277"/>
      <c r="AG521" s="277"/>
      <c r="AH521" s="277"/>
      <c r="AI521" s="277"/>
      <c r="AJ521" s="277"/>
      <c r="AK521" s="277"/>
      <c r="AL521" s="277"/>
      <c r="AM521" s="277"/>
      <c r="AN521" s="277"/>
      <c r="AO521" s="277"/>
      <c r="AP521" s="514"/>
      <c r="AQ521" s="277"/>
      <c r="AR521" s="514"/>
      <c r="AS521" s="515"/>
    </row>
    <row r="522" spans="3:45" s="516" customFormat="1" x14ac:dyDescent="0.25">
      <c r="C522" s="478"/>
      <c r="D522" s="478"/>
      <c r="E522" s="473"/>
      <c r="F522" s="473"/>
      <c r="G522" s="509"/>
      <c r="H522" s="478"/>
      <c r="I522" s="478"/>
      <c r="J522" s="478"/>
      <c r="K522" s="478"/>
      <c r="L522" s="478"/>
      <c r="M522" s="510"/>
      <c r="N522" s="510"/>
      <c r="O522" s="510"/>
      <c r="P522" s="511"/>
      <c r="Q522" s="510"/>
      <c r="R522" s="511"/>
      <c r="S522" s="478"/>
      <c r="T522" s="478"/>
      <c r="U522" s="478"/>
      <c r="V522" s="511"/>
      <c r="W522" s="512"/>
      <c r="X522" s="512"/>
      <c r="Y522" s="513"/>
      <c r="Z522" s="512"/>
      <c r="AA522" s="277"/>
      <c r="AB522" s="277"/>
      <c r="AC522" s="277"/>
      <c r="AD522" s="277"/>
      <c r="AE522" s="277"/>
      <c r="AF522" s="277"/>
      <c r="AG522" s="277"/>
      <c r="AH522" s="277"/>
      <c r="AI522" s="277"/>
      <c r="AJ522" s="277"/>
      <c r="AK522" s="277"/>
      <c r="AL522" s="277"/>
      <c r="AM522" s="277"/>
      <c r="AN522" s="277"/>
      <c r="AO522" s="277"/>
      <c r="AP522" s="514"/>
      <c r="AQ522" s="277"/>
      <c r="AR522" s="514"/>
      <c r="AS522" s="515"/>
    </row>
    <row r="523" spans="3:45" s="516" customFormat="1" x14ac:dyDescent="0.25">
      <c r="C523" s="478"/>
      <c r="D523" s="478"/>
      <c r="E523" s="473"/>
      <c r="F523" s="473"/>
      <c r="G523" s="509"/>
      <c r="H523" s="478"/>
      <c r="I523" s="478"/>
      <c r="J523" s="478"/>
      <c r="K523" s="478"/>
      <c r="L523" s="478"/>
      <c r="M523" s="510"/>
      <c r="N523" s="510"/>
      <c r="O523" s="510"/>
      <c r="P523" s="511"/>
      <c r="Q523" s="510"/>
      <c r="R523" s="511"/>
      <c r="S523" s="478"/>
      <c r="T523" s="478"/>
      <c r="U523" s="478"/>
      <c r="V523" s="511"/>
      <c r="W523" s="512"/>
      <c r="X523" s="512"/>
      <c r="Y523" s="513"/>
      <c r="Z523" s="512"/>
      <c r="AA523" s="277"/>
      <c r="AB523" s="277"/>
      <c r="AC523" s="277"/>
      <c r="AD523" s="277"/>
      <c r="AE523" s="277"/>
      <c r="AF523" s="277"/>
      <c r="AG523" s="277"/>
      <c r="AH523" s="277"/>
      <c r="AI523" s="277"/>
      <c r="AJ523" s="277"/>
      <c r="AK523" s="277"/>
      <c r="AL523" s="277"/>
      <c r="AM523" s="277"/>
      <c r="AN523" s="277"/>
      <c r="AO523" s="277"/>
      <c r="AP523" s="514"/>
      <c r="AQ523" s="277"/>
      <c r="AR523" s="514"/>
      <c r="AS523" s="515"/>
    </row>
    <row r="524" spans="3:45" s="516" customFormat="1" x14ac:dyDescent="0.25">
      <c r="C524" s="478"/>
      <c r="D524" s="478"/>
      <c r="E524" s="473"/>
      <c r="F524" s="473"/>
      <c r="G524" s="509"/>
      <c r="H524" s="478"/>
      <c r="I524" s="478"/>
      <c r="J524" s="478"/>
      <c r="K524" s="478"/>
      <c r="L524" s="478"/>
      <c r="M524" s="510"/>
      <c r="N524" s="510"/>
      <c r="O524" s="510"/>
      <c r="P524" s="511"/>
      <c r="Q524" s="510"/>
      <c r="R524" s="511"/>
      <c r="S524" s="478"/>
      <c r="T524" s="478"/>
      <c r="U524" s="478"/>
      <c r="V524" s="511"/>
      <c r="W524" s="512"/>
      <c r="X524" s="512"/>
      <c r="Y524" s="513"/>
      <c r="Z524" s="512"/>
      <c r="AA524" s="277"/>
      <c r="AB524" s="277"/>
      <c r="AC524" s="277"/>
      <c r="AD524" s="277"/>
      <c r="AE524" s="277"/>
      <c r="AF524" s="277"/>
      <c r="AG524" s="277"/>
      <c r="AH524" s="277"/>
      <c r="AI524" s="277"/>
      <c r="AJ524" s="277"/>
      <c r="AK524" s="277"/>
      <c r="AL524" s="277"/>
      <c r="AM524" s="277"/>
      <c r="AN524" s="277"/>
      <c r="AO524" s="277"/>
      <c r="AP524" s="514"/>
      <c r="AQ524" s="277"/>
      <c r="AR524" s="514"/>
      <c r="AS524" s="515"/>
    </row>
    <row r="525" spans="3:45" s="516" customFormat="1" x14ac:dyDescent="0.25">
      <c r="C525" s="478"/>
      <c r="D525" s="478"/>
      <c r="E525" s="473"/>
      <c r="F525" s="473"/>
      <c r="G525" s="509"/>
      <c r="H525" s="478"/>
      <c r="I525" s="478"/>
      <c r="J525" s="478"/>
      <c r="K525" s="478"/>
      <c r="L525" s="478"/>
      <c r="M525" s="510"/>
      <c r="N525" s="510"/>
      <c r="O525" s="510"/>
      <c r="P525" s="511"/>
      <c r="Q525" s="510"/>
      <c r="R525" s="511"/>
      <c r="S525" s="478"/>
      <c r="T525" s="478"/>
      <c r="U525" s="478"/>
      <c r="V525" s="511"/>
      <c r="W525" s="512"/>
      <c r="X525" s="512"/>
      <c r="Y525" s="513"/>
      <c r="Z525" s="512"/>
      <c r="AA525" s="277"/>
      <c r="AB525" s="277"/>
      <c r="AC525" s="277"/>
      <c r="AD525" s="277"/>
      <c r="AE525" s="277"/>
      <c r="AF525" s="277"/>
      <c r="AG525" s="277"/>
      <c r="AH525" s="277"/>
      <c r="AI525" s="277"/>
      <c r="AJ525" s="277"/>
      <c r="AK525" s="277"/>
      <c r="AL525" s="277"/>
      <c r="AM525" s="277"/>
      <c r="AN525" s="277"/>
      <c r="AO525" s="277"/>
      <c r="AP525" s="514"/>
      <c r="AQ525" s="277"/>
      <c r="AR525" s="514"/>
      <c r="AS525" s="515"/>
    </row>
    <row r="526" spans="3:45" s="516" customFormat="1" x14ac:dyDescent="0.25">
      <c r="C526" s="478"/>
      <c r="D526" s="478"/>
      <c r="E526" s="473"/>
      <c r="F526" s="473"/>
      <c r="G526" s="509"/>
      <c r="H526" s="478"/>
      <c r="I526" s="478"/>
      <c r="J526" s="478"/>
      <c r="K526" s="478"/>
      <c r="L526" s="478"/>
      <c r="M526" s="510"/>
      <c r="N526" s="510"/>
      <c r="O526" s="510"/>
      <c r="P526" s="511"/>
      <c r="Q526" s="510"/>
      <c r="R526" s="511"/>
      <c r="S526" s="478"/>
      <c r="T526" s="478"/>
      <c r="U526" s="478"/>
      <c r="V526" s="511"/>
      <c r="W526" s="512"/>
      <c r="X526" s="512"/>
      <c r="Y526" s="513"/>
      <c r="Z526" s="512"/>
      <c r="AA526" s="277"/>
      <c r="AB526" s="277"/>
      <c r="AC526" s="277"/>
      <c r="AD526" s="277"/>
      <c r="AE526" s="277"/>
      <c r="AF526" s="277"/>
      <c r="AG526" s="277"/>
      <c r="AH526" s="277"/>
      <c r="AI526" s="277"/>
      <c r="AJ526" s="277"/>
      <c r="AK526" s="277"/>
      <c r="AL526" s="277"/>
      <c r="AM526" s="277"/>
      <c r="AN526" s="277"/>
      <c r="AO526" s="277"/>
      <c r="AP526" s="514"/>
      <c r="AQ526" s="277"/>
      <c r="AR526" s="514"/>
      <c r="AS526" s="515"/>
    </row>
    <row r="527" spans="3:45" s="516" customFormat="1" x14ac:dyDescent="0.25">
      <c r="C527" s="478"/>
      <c r="D527" s="478"/>
      <c r="E527" s="473"/>
      <c r="F527" s="473"/>
      <c r="G527" s="509"/>
      <c r="H527" s="478"/>
      <c r="I527" s="478"/>
      <c r="J527" s="478"/>
      <c r="K527" s="478"/>
      <c r="L527" s="478"/>
      <c r="M527" s="510"/>
      <c r="N527" s="510"/>
      <c r="O527" s="510"/>
      <c r="P527" s="511"/>
      <c r="Q527" s="510"/>
      <c r="R527" s="511"/>
      <c r="S527" s="478"/>
      <c r="T527" s="478"/>
      <c r="U527" s="478"/>
      <c r="V527" s="511"/>
      <c r="W527" s="512"/>
      <c r="X527" s="512"/>
      <c r="Y527" s="513"/>
      <c r="Z527" s="512"/>
      <c r="AA527" s="277"/>
      <c r="AB527" s="277"/>
      <c r="AC527" s="277"/>
      <c r="AD527" s="277"/>
      <c r="AE527" s="277"/>
      <c r="AF527" s="277"/>
      <c r="AG527" s="277"/>
      <c r="AH527" s="277"/>
      <c r="AI527" s="277"/>
      <c r="AJ527" s="277"/>
      <c r="AK527" s="277"/>
      <c r="AL527" s="277"/>
      <c r="AM527" s="277"/>
      <c r="AN527" s="277"/>
      <c r="AO527" s="277"/>
      <c r="AP527" s="514"/>
      <c r="AQ527" s="277"/>
      <c r="AR527" s="514"/>
      <c r="AS527" s="515"/>
    </row>
    <row r="528" spans="3:45" s="516" customFormat="1" x14ac:dyDescent="0.25">
      <c r="C528" s="478"/>
      <c r="D528" s="478"/>
      <c r="E528" s="473"/>
      <c r="F528" s="473"/>
      <c r="G528" s="509"/>
      <c r="H528" s="478"/>
      <c r="I528" s="478"/>
      <c r="J528" s="478"/>
      <c r="K528" s="478"/>
      <c r="L528" s="478"/>
      <c r="M528" s="510"/>
      <c r="N528" s="510"/>
      <c r="O528" s="510"/>
      <c r="P528" s="511"/>
      <c r="Q528" s="510"/>
      <c r="R528" s="511"/>
      <c r="S528" s="478"/>
      <c r="T528" s="478"/>
      <c r="U528" s="478"/>
      <c r="V528" s="511"/>
      <c r="W528" s="512"/>
      <c r="X528" s="512"/>
      <c r="Y528" s="513"/>
      <c r="Z528" s="512"/>
      <c r="AA528" s="277"/>
      <c r="AB528" s="277"/>
      <c r="AC528" s="277"/>
      <c r="AD528" s="277"/>
      <c r="AE528" s="277"/>
      <c r="AF528" s="277"/>
      <c r="AG528" s="277"/>
      <c r="AH528" s="277"/>
      <c r="AI528" s="277"/>
      <c r="AJ528" s="277"/>
      <c r="AK528" s="277"/>
      <c r="AL528" s="277"/>
      <c r="AM528" s="277"/>
      <c r="AN528" s="277"/>
      <c r="AO528" s="277"/>
      <c r="AP528" s="514"/>
      <c r="AQ528" s="277"/>
      <c r="AR528" s="514"/>
      <c r="AS528" s="515"/>
    </row>
    <row r="529" spans="3:45" s="516" customFormat="1" x14ac:dyDescent="0.25">
      <c r="C529" s="478"/>
      <c r="D529" s="478"/>
      <c r="E529" s="473"/>
      <c r="F529" s="473"/>
      <c r="G529" s="509"/>
      <c r="H529" s="478"/>
      <c r="I529" s="478"/>
      <c r="J529" s="478"/>
      <c r="K529" s="478"/>
      <c r="L529" s="478"/>
      <c r="M529" s="510"/>
      <c r="N529" s="510"/>
      <c r="O529" s="510"/>
      <c r="P529" s="511"/>
      <c r="Q529" s="510"/>
      <c r="R529" s="511"/>
      <c r="S529" s="478"/>
      <c r="T529" s="478"/>
      <c r="U529" s="478"/>
      <c r="V529" s="511"/>
      <c r="W529" s="512"/>
      <c r="X529" s="512"/>
      <c r="Y529" s="513"/>
      <c r="Z529" s="512"/>
      <c r="AA529" s="277"/>
      <c r="AB529" s="277"/>
      <c r="AC529" s="277"/>
      <c r="AD529" s="277"/>
      <c r="AE529" s="277"/>
      <c r="AF529" s="277"/>
      <c r="AG529" s="277"/>
      <c r="AH529" s="277"/>
      <c r="AI529" s="277"/>
      <c r="AJ529" s="277"/>
      <c r="AK529" s="277"/>
      <c r="AL529" s="277"/>
      <c r="AM529" s="277"/>
      <c r="AN529" s="277"/>
      <c r="AO529" s="277"/>
      <c r="AP529" s="514"/>
      <c r="AQ529" s="277"/>
      <c r="AR529" s="514"/>
      <c r="AS529" s="515"/>
    </row>
    <row r="530" spans="3:45" s="516" customFormat="1" x14ac:dyDescent="0.25">
      <c r="C530" s="478"/>
      <c r="D530" s="478"/>
      <c r="E530" s="473"/>
      <c r="F530" s="473"/>
      <c r="G530" s="509"/>
      <c r="H530" s="478"/>
      <c r="I530" s="478"/>
      <c r="J530" s="478"/>
      <c r="K530" s="478"/>
      <c r="L530" s="478"/>
      <c r="M530" s="510"/>
      <c r="N530" s="510"/>
      <c r="O530" s="510"/>
      <c r="P530" s="511"/>
      <c r="Q530" s="510"/>
      <c r="R530" s="511"/>
      <c r="S530" s="478"/>
      <c r="T530" s="478"/>
      <c r="U530" s="478"/>
      <c r="V530" s="511"/>
      <c r="W530" s="512"/>
      <c r="X530" s="512"/>
      <c r="Y530" s="513"/>
      <c r="Z530" s="512"/>
      <c r="AA530" s="277"/>
      <c r="AB530" s="277"/>
      <c r="AC530" s="277"/>
      <c r="AD530" s="277"/>
      <c r="AE530" s="277"/>
      <c r="AF530" s="277"/>
      <c r="AG530" s="277"/>
      <c r="AH530" s="277"/>
      <c r="AI530" s="277"/>
      <c r="AJ530" s="277"/>
      <c r="AK530" s="277"/>
      <c r="AL530" s="277"/>
      <c r="AM530" s="277"/>
      <c r="AN530" s="277"/>
      <c r="AO530" s="277"/>
      <c r="AP530" s="514"/>
      <c r="AQ530" s="277"/>
      <c r="AR530" s="514"/>
      <c r="AS530" s="515"/>
    </row>
    <row r="531" spans="3:45" s="516" customFormat="1" x14ac:dyDescent="0.25">
      <c r="C531" s="478"/>
      <c r="D531" s="478"/>
      <c r="E531" s="473"/>
      <c r="F531" s="473"/>
      <c r="G531" s="509"/>
      <c r="H531" s="478"/>
      <c r="I531" s="478"/>
      <c r="J531" s="478"/>
      <c r="K531" s="478"/>
      <c r="L531" s="478"/>
      <c r="M531" s="510"/>
      <c r="N531" s="510"/>
      <c r="O531" s="510"/>
      <c r="P531" s="511"/>
      <c r="Q531" s="510"/>
      <c r="R531" s="511"/>
      <c r="S531" s="478"/>
      <c r="T531" s="478"/>
      <c r="U531" s="478"/>
      <c r="V531" s="511"/>
      <c r="W531" s="512"/>
      <c r="X531" s="512"/>
      <c r="Y531" s="513"/>
      <c r="Z531" s="512"/>
      <c r="AA531" s="277"/>
      <c r="AB531" s="277"/>
      <c r="AC531" s="277"/>
      <c r="AD531" s="277"/>
      <c r="AE531" s="277"/>
      <c r="AF531" s="277"/>
      <c r="AG531" s="277"/>
      <c r="AH531" s="277"/>
      <c r="AI531" s="277"/>
      <c r="AJ531" s="277"/>
      <c r="AK531" s="277"/>
      <c r="AL531" s="277"/>
      <c r="AM531" s="277"/>
      <c r="AN531" s="277"/>
      <c r="AO531" s="277"/>
      <c r="AP531" s="514"/>
      <c r="AQ531" s="277"/>
      <c r="AR531" s="514"/>
      <c r="AS531" s="515"/>
    </row>
    <row r="532" spans="3:45" s="516" customFormat="1" x14ac:dyDescent="0.25">
      <c r="C532" s="478"/>
      <c r="D532" s="478"/>
      <c r="E532" s="473"/>
      <c r="F532" s="473"/>
      <c r="G532" s="509"/>
      <c r="H532" s="478"/>
      <c r="I532" s="478"/>
      <c r="J532" s="478"/>
      <c r="K532" s="478"/>
      <c r="L532" s="478"/>
      <c r="M532" s="510"/>
      <c r="N532" s="510"/>
      <c r="O532" s="510"/>
      <c r="P532" s="511"/>
      <c r="Q532" s="510"/>
      <c r="R532" s="511"/>
      <c r="S532" s="478"/>
      <c r="T532" s="478"/>
      <c r="U532" s="478"/>
      <c r="V532" s="511"/>
      <c r="W532" s="512"/>
      <c r="X532" s="512"/>
      <c r="Y532" s="513"/>
      <c r="Z532" s="512"/>
      <c r="AA532" s="277"/>
      <c r="AB532" s="277"/>
      <c r="AC532" s="277"/>
      <c r="AD532" s="277"/>
      <c r="AE532" s="277"/>
      <c r="AF532" s="277"/>
      <c r="AG532" s="277"/>
      <c r="AH532" s="277"/>
      <c r="AI532" s="277"/>
      <c r="AJ532" s="277"/>
      <c r="AK532" s="277"/>
      <c r="AL532" s="277"/>
      <c r="AM532" s="277"/>
      <c r="AN532" s="277"/>
      <c r="AO532" s="277"/>
      <c r="AP532" s="514"/>
      <c r="AQ532" s="277"/>
      <c r="AR532" s="514"/>
      <c r="AS532" s="515"/>
    </row>
    <row r="533" spans="3:45" s="516" customFormat="1" x14ac:dyDescent="0.25">
      <c r="C533" s="478"/>
      <c r="D533" s="478"/>
      <c r="E533" s="473"/>
      <c r="F533" s="473"/>
      <c r="G533" s="509"/>
      <c r="H533" s="478"/>
      <c r="I533" s="478"/>
      <c r="J533" s="478"/>
      <c r="K533" s="478"/>
      <c r="L533" s="478"/>
      <c r="M533" s="510"/>
      <c r="N533" s="510"/>
      <c r="O533" s="510"/>
      <c r="P533" s="511"/>
      <c r="Q533" s="510"/>
      <c r="R533" s="511"/>
      <c r="S533" s="478"/>
      <c r="T533" s="478"/>
      <c r="U533" s="478"/>
      <c r="V533" s="511"/>
      <c r="W533" s="512"/>
      <c r="X533" s="512"/>
      <c r="Y533" s="513"/>
      <c r="Z533" s="512"/>
      <c r="AA533" s="277"/>
      <c r="AB533" s="277"/>
      <c r="AC533" s="277"/>
      <c r="AD533" s="277"/>
      <c r="AE533" s="277"/>
      <c r="AF533" s="277"/>
      <c r="AG533" s="277"/>
      <c r="AH533" s="277"/>
      <c r="AI533" s="277"/>
      <c r="AJ533" s="277"/>
      <c r="AK533" s="277"/>
      <c r="AL533" s="277"/>
      <c r="AM533" s="277"/>
      <c r="AN533" s="277"/>
      <c r="AO533" s="277"/>
      <c r="AP533" s="514"/>
      <c r="AQ533" s="277"/>
      <c r="AR533" s="514"/>
      <c r="AS533" s="515"/>
    </row>
    <row r="534" spans="3:45" s="516" customFormat="1" x14ac:dyDescent="0.25">
      <c r="C534" s="478"/>
      <c r="D534" s="478"/>
      <c r="E534" s="473"/>
      <c r="F534" s="473"/>
      <c r="G534" s="509"/>
      <c r="H534" s="478"/>
      <c r="I534" s="478"/>
      <c r="J534" s="478"/>
      <c r="K534" s="478"/>
      <c r="L534" s="478"/>
      <c r="M534" s="510"/>
      <c r="N534" s="510"/>
      <c r="O534" s="510"/>
      <c r="P534" s="511"/>
      <c r="Q534" s="510"/>
      <c r="R534" s="511"/>
      <c r="S534" s="478"/>
      <c r="T534" s="478"/>
      <c r="U534" s="478"/>
      <c r="V534" s="511"/>
      <c r="W534" s="512"/>
      <c r="X534" s="512"/>
      <c r="Y534" s="513"/>
      <c r="Z534" s="512"/>
      <c r="AA534" s="277"/>
      <c r="AB534" s="277"/>
      <c r="AC534" s="277"/>
      <c r="AD534" s="277"/>
      <c r="AE534" s="277"/>
      <c r="AF534" s="277"/>
      <c r="AG534" s="277"/>
      <c r="AH534" s="277"/>
      <c r="AI534" s="277"/>
      <c r="AJ534" s="277"/>
      <c r="AK534" s="277"/>
      <c r="AL534" s="277"/>
      <c r="AM534" s="277"/>
      <c r="AN534" s="277"/>
      <c r="AO534" s="277"/>
      <c r="AP534" s="514"/>
      <c r="AQ534" s="277"/>
      <c r="AR534" s="514"/>
      <c r="AS534" s="515"/>
    </row>
    <row r="535" spans="3:45" s="516" customFormat="1" x14ac:dyDescent="0.25">
      <c r="C535" s="478"/>
      <c r="D535" s="478"/>
      <c r="E535" s="473"/>
      <c r="F535" s="473"/>
      <c r="G535" s="509"/>
      <c r="H535" s="478"/>
      <c r="I535" s="478"/>
      <c r="J535" s="478"/>
      <c r="K535" s="478"/>
      <c r="L535" s="478"/>
      <c r="M535" s="510"/>
      <c r="N535" s="510"/>
      <c r="O535" s="510"/>
      <c r="P535" s="511"/>
      <c r="Q535" s="510"/>
      <c r="R535" s="511"/>
      <c r="S535" s="478"/>
      <c r="T535" s="478"/>
      <c r="U535" s="478"/>
      <c r="V535" s="511"/>
      <c r="W535" s="512"/>
      <c r="X535" s="512"/>
      <c r="Y535" s="513"/>
      <c r="Z535" s="512"/>
      <c r="AA535" s="277"/>
      <c r="AB535" s="277"/>
      <c r="AC535" s="277"/>
      <c r="AD535" s="277"/>
      <c r="AE535" s="277"/>
      <c r="AF535" s="277"/>
      <c r="AG535" s="277"/>
      <c r="AH535" s="277"/>
      <c r="AI535" s="277"/>
      <c r="AJ535" s="277"/>
      <c r="AK535" s="277"/>
      <c r="AL535" s="277"/>
      <c r="AM535" s="277"/>
      <c r="AN535" s="277"/>
      <c r="AO535" s="277"/>
      <c r="AP535" s="514"/>
      <c r="AQ535" s="277"/>
      <c r="AR535" s="514"/>
      <c r="AS535" s="515"/>
    </row>
    <row r="536" spans="3:45" s="516" customFormat="1" x14ac:dyDescent="0.25">
      <c r="C536" s="478"/>
      <c r="D536" s="478"/>
      <c r="E536" s="473"/>
      <c r="F536" s="473"/>
      <c r="G536" s="509"/>
      <c r="H536" s="478"/>
      <c r="I536" s="478"/>
      <c r="J536" s="478"/>
      <c r="K536" s="478"/>
      <c r="L536" s="478"/>
      <c r="M536" s="510"/>
      <c r="N536" s="510"/>
      <c r="O536" s="510"/>
      <c r="P536" s="511"/>
      <c r="Q536" s="510"/>
      <c r="R536" s="511"/>
      <c r="S536" s="478"/>
      <c r="T536" s="478"/>
      <c r="U536" s="478"/>
      <c r="V536" s="511"/>
      <c r="W536" s="512"/>
      <c r="X536" s="512"/>
      <c r="Y536" s="513"/>
      <c r="Z536" s="512"/>
      <c r="AA536" s="277"/>
      <c r="AB536" s="277"/>
      <c r="AC536" s="277"/>
      <c r="AD536" s="277"/>
      <c r="AE536" s="277"/>
      <c r="AF536" s="277"/>
      <c r="AG536" s="277"/>
      <c r="AH536" s="277"/>
      <c r="AI536" s="277"/>
      <c r="AJ536" s="277"/>
      <c r="AK536" s="277"/>
      <c r="AL536" s="277"/>
      <c r="AM536" s="277"/>
      <c r="AN536" s="277"/>
      <c r="AO536" s="277"/>
      <c r="AP536" s="514"/>
      <c r="AQ536" s="277"/>
      <c r="AR536" s="514"/>
      <c r="AS536" s="515"/>
    </row>
    <row r="537" spans="3:45" s="516" customFormat="1" x14ac:dyDescent="0.25">
      <c r="C537" s="478"/>
      <c r="D537" s="478"/>
      <c r="E537" s="473"/>
      <c r="F537" s="473"/>
      <c r="G537" s="509"/>
      <c r="H537" s="478"/>
      <c r="I537" s="478"/>
      <c r="J537" s="478"/>
      <c r="K537" s="478"/>
      <c r="L537" s="478"/>
      <c r="M537" s="510"/>
      <c r="N537" s="510"/>
      <c r="O537" s="510"/>
      <c r="P537" s="511"/>
      <c r="Q537" s="510"/>
      <c r="R537" s="511"/>
      <c r="S537" s="478"/>
      <c r="T537" s="478"/>
      <c r="U537" s="478"/>
      <c r="V537" s="511"/>
      <c r="W537" s="512"/>
      <c r="X537" s="512"/>
      <c r="Y537" s="513"/>
      <c r="Z537" s="512"/>
      <c r="AA537" s="277"/>
      <c r="AB537" s="277"/>
      <c r="AC537" s="277"/>
      <c r="AD537" s="277"/>
      <c r="AE537" s="277"/>
      <c r="AF537" s="277"/>
      <c r="AG537" s="277"/>
      <c r="AH537" s="277"/>
      <c r="AI537" s="277"/>
      <c r="AJ537" s="277"/>
      <c r="AK537" s="277"/>
      <c r="AL537" s="277"/>
      <c r="AM537" s="277"/>
      <c r="AN537" s="277"/>
      <c r="AO537" s="277"/>
      <c r="AP537" s="514"/>
      <c r="AQ537" s="277"/>
      <c r="AR537" s="514"/>
      <c r="AS537" s="515"/>
    </row>
    <row r="538" spans="3:45" s="516" customFormat="1" x14ac:dyDescent="0.25">
      <c r="C538" s="478"/>
      <c r="D538" s="478"/>
      <c r="E538" s="473"/>
      <c r="F538" s="473"/>
      <c r="G538" s="509"/>
      <c r="H538" s="478"/>
      <c r="I538" s="478"/>
      <c r="J538" s="478"/>
      <c r="K538" s="478"/>
      <c r="L538" s="478"/>
      <c r="M538" s="510"/>
      <c r="N538" s="510"/>
      <c r="O538" s="510"/>
      <c r="P538" s="511"/>
      <c r="Q538" s="510"/>
      <c r="R538" s="511"/>
      <c r="S538" s="478"/>
      <c r="T538" s="478"/>
      <c r="U538" s="478"/>
      <c r="V538" s="511"/>
      <c r="W538" s="512"/>
      <c r="X538" s="512"/>
      <c r="Y538" s="513"/>
      <c r="Z538" s="512"/>
      <c r="AA538" s="277"/>
      <c r="AB538" s="277"/>
      <c r="AC538" s="277"/>
      <c r="AD538" s="277"/>
      <c r="AE538" s="277"/>
      <c r="AF538" s="277"/>
      <c r="AG538" s="277"/>
      <c r="AH538" s="277"/>
      <c r="AI538" s="277"/>
      <c r="AJ538" s="277"/>
      <c r="AK538" s="277"/>
      <c r="AL538" s="277"/>
      <c r="AM538" s="277"/>
      <c r="AN538" s="277"/>
      <c r="AO538" s="277"/>
      <c r="AP538" s="514"/>
      <c r="AQ538" s="277"/>
      <c r="AR538" s="514"/>
      <c r="AS538" s="515"/>
    </row>
    <row r="539" spans="3:45" s="516" customFormat="1" x14ac:dyDescent="0.25">
      <c r="C539" s="478"/>
      <c r="D539" s="478"/>
      <c r="E539" s="473"/>
      <c r="F539" s="473"/>
      <c r="G539" s="509"/>
      <c r="H539" s="478"/>
      <c r="I539" s="478"/>
      <c r="J539" s="478"/>
      <c r="K539" s="478"/>
      <c r="L539" s="478"/>
      <c r="M539" s="510"/>
      <c r="N539" s="510"/>
      <c r="O539" s="510"/>
      <c r="P539" s="511"/>
      <c r="Q539" s="510"/>
      <c r="R539" s="511"/>
      <c r="S539" s="478"/>
      <c r="T539" s="478"/>
      <c r="U539" s="478"/>
      <c r="V539" s="511"/>
      <c r="W539" s="512"/>
      <c r="X539" s="512"/>
      <c r="Y539" s="513"/>
      <c r="Z539" s="512"/>
      <c r="AA539" s="277"/>
      <c r="AB539" s="277"/>
      <c r="AC539" s="277"/>
      <c r="AD539" s="277"/>
      <c r="AE539" s="277"/>
      <c r="AF539" s="277"/>
      <c r="AG539" s="277"/>
      <c r="AH539" s="277"/>
      <c r="AI539" s="277"/>
      <c r="AJ539" s="277"/>
      <c r="AK539" s="277"/>
      <c r="AL539" s="277"/>
      <c r="AM539" s="277"/>
      <c r="AN539" s="277"/>
      <c r="AO539" s="277"/>
      <c r="AP539" s="514"/>
      <c r="AQ539" s="277"/>
      <c r="AR539" s="514"/>
      <c r="AS539" s="515"/>
    </row>
    <row r="540" spans="3:45" s="516" customFormat="1" x14ac:dyDescent="0.25">
      <c r="C540" s="478"/>
      <c r="D540" s="478"/>
      <c r="E540" s="473"/>
      <c r="F540" s="473"/>
      <c r="G540" s="509"/>
      <c r="H540" s="478"/>
      <c r="I540" s="478"/>
      <c r="J540" s="478"/>
      <c r="K540" s="478"/>
      <c r="L540" s="478"/>
      <c r="M540" s="510"/>
      <c r="N540" s="510"/>
      <c r="O540" s="510"/>
      <c r="P540" s="511"/>
      <c r="Q540" s="510"/>
      <c r="R540" s="511"/>
      <c r="S540" s="478"/>
      <c r="T540" s="478"/>
      <c r="U540" s="478"/>
      <c r="V540" s="511"/>
      <c r="W540" s="512"/>
      <c r="X540" s="512"/>
      <c r="Y540" s="513"/>
      <c r="Z540" s="512"/>
      <c r="AA540" s="277"/>
      <c r="AB540" s="277"/>
      <c r="AC540" s="277"/>
      <c r="AD540" s="277"/>
      <c r="AE540" s="277"/>
      <c r="AF540" s="277"/>
      <c r="AG540" s="277"/>
      <c r="AH540" s="277"/>
      <c r="AI540" s="277"/>
      <c r="AJ540" s="277"/>
      <c r="AK540" s="277"/>
      <c r="AL540" s="277"/>
      <c r="AM540" s="277"/>
      <c r="AN540" s="277"/>
      <c r="AO540" s="277"/>
      <c r="AP540" s="514"/>
      <c r="AQ540" s="277"/>
      <c r="AR540" s="514"/>
      <c r="AS540" s="515"/>
    </row>
    <row r="541" spans="3:45" s="516" customFormat="1" x14ac:dyDescent="0.25">
      <c r="C541" s="478"/>
      <c r="D541" s="478"/>
      <c r="E541" s="473"/>
      <c r="F541" s="473"/>
      <c r="G541" s="509"/>
      <c r="H541" s="478"/>
      <c r="I541" s="478"/>
      <c r="J541" s="478"/>
      <c r="K541" s="478"/>
      <c r="L541" s="478"/>
      <c r="M541" s="510"/>
      <c r="N541" s="510"/>
      <c r="O541" s="510"/>
      <c r="P541" s="511"/>
      <c r="Q541" s="510"/>
      <c r="R541" s="511"/>
      <c r="S541" s="478"/>
      <c r="T541" s="478"/>
      <c r="U541" s="478"/>
      <c r="V541" s="511"/>
      <c r="W541" s="512"/>
      <c r="X541" s="512"/>
      <c r="Y541" s="513"/>
      <c r="Z541" s="512"/>
      <c r="AA541" s="277"/>
      <c r="AB541" s="277"/>
      <c r="AC541" s="277"/>
      <c r="AD541" s="277"/>
      <c r="AE541" s="277"/>
      <c r="AF541" s="277"/>
      <c r="AG541" s="277"/>
      <c r="AH541" s="277"/>
      <c r="AI541" s="277"/>
      <c r="AJ541" s="277"/>
      <c r="AK541" s="277"/>
      <c r="AL541" s="277"/>
      <c r="AM541" s="277"/>
      <c r="AN541" s="277"/>
      <c r="AO541" s="277"/>
      <c r="AP541" s="514"/>
      <c r="AQ541" s="277"/>
      <c r="AR541" s="514"/>
      <c r="AS541" s="515"/>
    </row>
    <row r="542" spans="3:45" s="516" customFormat="1" x14ac:dyDescent="0.25">
      <c r="C542" s="478"/>
      <c r="D542" s="478"/>
      <c r="E542" s="473"/>
      <c r="F542" s="473"/>
      <c r="G542" s="509"/>
      <c r="H542" s="478"/>
      <c r="I542" s="478"/>
      <c r="J542" s="478"/>
      <c r="K542" s="478"/>
      <c r="L542" s="478"/>
      <c r="M542" s="510"/>
      <c r="N542" s="510"/>
      <c r="O542" s="510"/>
      <c r="P542" s="511"/>
      <c r="Q542" s="510"/>
      <c r="R542" s="511"/>
      <c r="S542" s="478"/>
      <c r="T542" s="478"/>
      <c r="U542" s="478"/>
      <c r="V542" s="511"/>
      <c r="W542" s="512"/>
      <c r="X542" s="512"/>
      <c r="Y542" s="513"/>
      <c r="Z542" s="512"/>
      <c r="AA542" s="277"/>
      <c r="AB542" s="277"/>
      <c r="AC542" s="277"/>
      <c r="AD542" s="277"/>
      <c r="AE542" s="277"/>
      <c r="AF542" s="277"/>
      <c r="AG542" s="277"/>
      <c r="AH542" s="277"/>
      <c r="AI542" s="277"/>
      <c r="AJ542" s="277"/>
      <c r="AK542" s="277"/>
      <c r="AL542" s="277"/>
      <c r="AM542" s="277"/>
      <c r="AN542" s="277"/>
      <c r="AO542" s="277"/>
      <c r="AP542" s="514"/>
      <c r="AQ542" s="277"/>
      <c r="AR542" s="514"/>
      <c r="AS542" s="515"/>
    </row>
    <row r="543" spans="3:45" s="516" customFormat="1" x14ac:dyDescent="0.25">
      <c r="C543" s="478"/>
      <c r="D543" s="478"/>
      <c r="E543" s="473"/>
      <c r="F543" s="473"/>
      <c r="G543" s="509"/>
      <c r="H543" s="478"/>
      <c r="I543" s="478"/>
      <c r="J543" s="478"/>
      <c r="K543" s="478"/>
      <c r="L543" s="478"/>
      <c r="M543" s="510"/>
      <c r="N543" s="510"/>
      <c r="O543" s="510"/>
      <c r="P543" s="511"/>
      <c r="Q543" s="510"/>
      <c r="R543" s="511"/>
      <c r="S543" s="478"/>
      <c r="T543" s="478"/>
      <c r="U543" s="478"/>
      <c r="V543" s="511"/>
      <c r="W543" s="512"/>
      <c r="X543" s="512"/>
      <c r="Y543" s="513"/>
      <c r="Z543" s="512"/>
      <c r="AA543" s="277"/>
      <c r="AB543" s="277"/>
      <c r="AC543" s="277"/>
      <c r="AD543" s="277"/>
      <c r="AE543" s="277"/>
      <c r="AF543" s="277"/>
      <c r="AG543" s="277"/>
      <c r="AH543" s="277"/>
      <c r="AI543" s="277"/>
      <c r="AJ543" s="277"/>
      <c r="AK543" s="277"/>
      <c r="AL543" s="277"/>
      <c r="AM543" s="277"/>
      <c r="AN543" s="277"/>
      <c r="AO543" s="277"/>
      <c r="AP543" s="514"/>
      <c r="AQ543" s="277"/>
      <c r="AR543" s="514"/>
      <c r="AS543" s="515"/>
    </row>
    <row r="544" spans="3:45" s="516" customFormat="1" x14ac:dyDescent="0.25">
      <c r="C544" s="478"/>
      <c r="D544" s="478"/>
      <c r="E544" s="473"/>
      <c r="F544" s="473"/>
      <c r="G544" s="509"/>
      <c r="H544" s="478"/>
      <c r="I544" s="478"/>
      <c r="J544" s="478"/>
      <c r="K544" s="478"/>
      <c r="L544" s="478"/>
      <c r="M544" s="510"/>
      <c r="N544" s="510"/>
      <c r="O544" s="510"/>
      <c r="P544" s="511"/>
      <c r="Q544" s="510"/>
      <c r="R544" s="511"/>
      <c r="S544" s="478"/>
      <c r="T544" s="478"/>
      <c r="U544" s="478"/>
      <c r="V544" s="511"/>
      <c r="W544" s="512"/>
      <c r="X544" s="512"/>
      <c r="Y544" s="513"/>
      <c r="Z544" s="512"/>
      <c r="AA544" s="277"/>
      <c r="AB544" s="277"/>
      <c r="AC544" s="277"/>
      <c r="AD544" s="277"/>
      <c r="AE544" s="277"/>
      <c r="AF544" s="277"/>
      <c r="AG544" s="277"/>
      <c r="AH544" s="277"/>
      <c r="AI544" s="277"/>
      <c r="AJ544" s="277"/>
      <c r="AK544" s="277"/>
      <c r="AL544" s="277"/>
      <c r="AM544" s="277"/>
      <c r="AN544" s="277"/>
      <c r="AO544" s="277"/>
      <c r="AP544" s="514"/>
      <c r="AQ544" s="277"/>
      <c r="AR544" s="514"/>
      <c r="AS544" s="515"/>
    </row>
    <row r="545" spans="3:45" s="516" customFormat="1" x14ac:dyDescent="0.25">
      <c r="C545" s="478"/>
      <c r="D545" s="478"/>
      <c r="E545" s="473"/>
      <c r="F545" s="473"/>
      <c r="G545" s="509"/>
      <c r="H545" s="478"/>
      <c r="I545" s="478"/>
      <c r="J545" s="478"/>
      <c r="K545" s="478"/>
      <c r="L545" s="478"/>
      <c r="M545" s="510"/>
      <c r="N545" s="510"/>
      <c r="O545" s="510"/>
      <c r="P545" s="511"/>
      <c r="Q545" s="510"/>
      <c r="R545" s="511"/>
      <c r="S545" s="478"/>
      <c r="T545" s="478"/>
      <c r="U545" s="478"/>
      <c r="V545" s="511"/>
      <c r="W545" s="512"/>
      <c r="X545" s="512"/>
      <c r="Y545" s="513"/>
      <c r="Z545" s="512"/>
      <c r="AA545" s="277"/>
      <c r="AB545" s="277"/>
      <c r="AC545" s="277"/>
      <c r="AD545" s="277"/>
      <c r="AE545" s="277"/>
      <c r="AF545" s="277"/>
      <c r="AG545" s="277"/>
      <c r="AH545" s="277"/>
      <c r="AI545" s="277"/>
      <c r="AJ545" s="277"/>
      <c r="AK545" s="277"/>
      <c r="AL545" s="277"/>
      <c r="AM545" s="277"/>
      <c r="AN545" s="277"/>
      <c r="AO545" s="277"/>
      <c r="AP545" s="514"/>
      <c r="AQ545" s="277"/>
      <c r="AR545" s="514"/>
      <c r="AS545" s="515"/>
    </row>
    <row r="546" spans="3:45" s="516" customFormat="1" x14ac:dyDescent="0.25">
      <c r="C546" s="478"/>
      <c r="D546" s="478"/>
      <c r="E546" s="473"/>
      <c r="F546" s="473"/>
      <c r="G546" s="509"/>
      <c r="H546" s="478"/>
      <c r="I546" s="478"/>
      <c r="J546" s="478"/>
      <c r="K546" s="478"/>
      <c r="L546" s="478"/>
      <c r="M546" s="510"/>
      <c r="N546" s="510"/>
      <c r="O546" s="510"/>
      <c r="P546" s="511"/>
      <c r="Q546" s="510"/>
      <c r="R546" s="511"/>
      <c r="S546" s="478"/>
      <c r="T546" s="478"/>
      <c r="U546" s="478"/>
      <c r="V546" s="511"/>
      <c r="W546" s="512"/>
      <c r="X546" s="512"/>
      <c r="Y546" s="513"/>
      <c r="Z546" s="512"/>
      <c r="AA546" s="277"/>
      <c r="AB546" s="277"/>
      <c r="AC546" s="277"/>
      <c r="AD546" s="277"/>
      <c r="AE546" s="277"/>
      <c r="AF546" s="277"/>
      <c r="AG546" s="277"/>
      <c r="AH546" s="277"/>
      <c r="AI546" s="277"/>
      <c r="AJ546" s="277"/>
      <c r="AK546" s="277"/>
      <c r="AL546" s="277"/>
      <c r="AM546" s="277"/>
      <c r="AN546" s="277"/>
      <c r="AO546" s="277"/>
      <c r="AP546" s="514"/>
      <c r="AQ546" s="277"/>
      <c r="AR546" s="514"/>
      <c r="AS546" s="515"/>
    </row>
    <row r="547" spans="3:45" s="516" customFormat="1" x14ac:dyDescent="0.25">
      <c r="C547" s="478"/>
      <c r="D547" s="478"/>
      <c r="E547" s="473"/>
      <c r="F547" s="473"/>
      <c r="G547" s="509"/>
      <c r="H547" s="478"/>
      <c r="I547" s="478"/>
      <c r="J547" s="478"/>
      <c r="K547" s="478"/>
      <c r="L547" s="478"/>
      <c r="M547" s="510"/>
      <c r="N547" s="510"/>
      <c r="O547" s="510"/>
      <c r="P547" s="511"/>
      <c r="Q547" s="510"/>
      <c r="R547" s="511"/>
      <c r="S547" s="478"/>
      <c r="T547" s="478"/>
      <c r="U547" s="478"/>
      <c r="V547" s="511"/>
      <c r="W547" s="512"/>
      <c r="X547" s="512"/>
      <c r="Y547" s="513"/>
      <c r="Z547" s="512"/>
      <c r="AA547" s="277"/>
      <c r="AB547" s="277"/>
      <c r="AC547" s="277"/>
      <c r="AD547" s="277"/>
      <c r="AE547" s="277"/>
      <c r="AF547" s="277"/>
      <c r="AG547" s="277"/>
      <c r="AH547" s="277"/>
      <c r="AI547" s="277"/>
      <c r="AJ547" s="277"/>
      <c r="AK547" s="277"/>
      <c r="AL547" s="277"/>
      <c r="AM547" s="277"/>
      <c r="AN547" s="277"/>
      <c r="AO547" s="277"/>
      <c r="AP547" s="514"/>
      <c r="AQ547" s="277"/>
      <c r="AR547" s="514"/>
      <c r="AS547" s="515"/>
    </row>
    <row r="548" spans="3:45" s="516" customFormat="1" x14ac:dyDescent="0.25">
      <c r="C548" s="478"/>
      <c r="D548" s="478"/>
      <c r="E548" s="473"/>
      <c r="F548" s="473"/>
      <c r="G548" s="509"/>
      <c r="H548" s="478"/>
      <c r="I548" s="478"/>
      <c r="J548" s="478"/>
      <c r="K548" s="478"/>
      <c r="L548" s="478"/>
      <c r="M548" s="510"/>
      <c r="N548" s="510"/>
      <c r="O548" s="510"/>
      <c r="P548" s="511"/>
      <c r="Q548" s="510"/>
      <c r="R548" s="511"/>
      <c r="S548" s="478"/>
      <c r="T548" s="478"/>
      <c r="U548" s="478"/>
      <c r="V548" s="511"/>
      <c r="W548" s="512"/>
      <c r="X548" s="512"/>
      <c r="Y548" s="513"/>
      <c r="Z548" s="512"/>
      <c r="AA548" s="277"/>
      <c r="AB548" s="277"/>
      <c r="AC548" s="277"/>
      <c r="AD548" s="277"/>
      <c r="AE548" s="277"/>
      <c r="AF548" s="277"/>
      <c r="AG548" s="277"/>
      <c r="AH548" s="277"/>
      <c r="AI548" s="277"/>
      <c r="AJ548" s="277"/>
      <c r="AK548" s="277"/>
      <c r="AL548" s="277"/>
      <c r="AM548" s="277"/>
      <c r="AN548" s="277"/>
      <c r="AO548" s="277"/>
      <c r="AP548" s="514"/>
      <c r="AQ548" s="277"/>
      <c r="AR548" s="514"/>
      <c r="AS548" s="515"/>
    </row>
    <row r="549" spans="3:45" s="516" customFormat="1" x14ac:dyDescent="0.25">
      <c r="C549" s="478"/>
      <c r="D549" s="478"/>
      <c r="E549" s="473"/>
      <c r="F549" s="473"/>
      <c r="G549" s="509"/>
      <c r="H549" s="478"/>
      <c r="I549" s="478"/>
      <c r="J549" s="478"/>
      <c r="K549" s="478"/>
      <c r="L549" s="478"/>
      <c r="M549" s="510"/>
      <c r="N549" s="510"/>
      <c r="O549" s="510"/>
      <c r="P549" s="511"/>
      <c r="Q549" s="510"/>
      <c r="R549" s="511"/>
      <c r="S549" s="478"/>
      <c r="T549" s="478"/>
      <c r="U549" s="478"/>
      <c r="V549" s="511"/>
      <c r="W549" s="512"/>
      <c r="X549" s="512"/>
      <c r="Y549" s="513"/>
      <c r="Z549" s="512"/>
      <c r="AA549" s="277"/>
      <c r="AB549" s="277"/>
      <c r="AC549" s="277"/>
      <c r="AD549" s="277"/>
      <c r="AE549" s="277"/>
      <c r="AF549" s="277"/>
      <c r="AG549" s="277"/>
      <c r="AH549" s="277"/>
      <c r="AI549" s="277"/>
      <c r="AJ549" s="277"/>
      <c r="AK549" s="277"/>
      <c r="AL549" s="277"/>
      <c r="AM549" s="277"/>
      <c r="AN549" s="277"/>
      <c r="AO549" s="277"/>
      <c r="AP549" s="514"/>
      <c r="AQ549" s="277"/>
      <c r="AR549" s="514"/>
      <c r="AS549" s="515"/>
    </row>
    <row r="550" spans="3:45" s="516" customFormat="1" x14ac:dyDescent="0.25">
      <c r="C550" s="478"/>
      <c r="D550" s="478"/>
      <c r="E550" s="473"/>
      <c r="F550" s="473"/>
      <c r="G550" s="509"/>
      <c r="H550" s="478"/>
      <c r="I550" s="478"/>
      <c r="J550" s="478"/>
      <c r="K550" s="478"/>
      <c r="L550" s="478"/>
      <c r="M550" s="510"/>
      <c r="N550" s="510"/>
      <c r="O550" s="510"/>
      <c r="P550" s="511"/>
      <c r="Q550" s="510"/>
      <c r="R550" s="511"/>
      <c r="S550" s="478"/>
      <c r="T550" s="478"/>
      <c r="U550" s="478"/>
      <c r="V550" s="511"/>
      <c r="W550" s="512"/>
      <c r="X550" s="512"/>
      <c r="Y550" s="513"/>
      <c r="Z550" s="512"/>
      <c r="AA550" s="277"/>
      <c r="AB550" s="277"/>
      <c r="AC550" s="277"/>
      <c r="AD550" s="277"/>
      <c r="AE550" s="277"/>
      <c r="AF550" s="277"/>
      <c r="AG550" s="277"/>
      <c r="AH550" s="277"/>
      <c r="AI550" s="277"/>
      <c r="AJ550" s="277"/>
      <c r="AK550" s="277"/>
      <c r="AL550" s="277"/>
      <c r="AM550" s="277"/>
      <c r="AN550" s="277"/>
      <c r="AO550" s="277"/>
      <c r="AP550" s="514"/>
      <c r="AQ550" s="277"/>
      <c r="AR550" s="514"/>
      <c r="AS550" s="515"/>
    </row>
    <row r="551" spans="3:45" s="516" customFormat="1" x14ac:dyDescent="0.25">
      <c r="C551" s="478"/>
      <c r="D551" s="478"/>
      <c r="E551" s="473"/>
      <c r="F551" s="473"/>
      <c r="G551" s="509"/>
      <c r="H551" s="478"/>
      <c r="I551" s="478"/>
      <c r="J551" s="478"/>
      <c r="K551" s="478"/>
      <c r="L551" s="478"/>
      <c r="M551" s="510"/>
      <c r="N551" s="510"/>
      <c r="O551" s="510"/>
      <c r="P551" s="511"/>
      <c r="Q551" s="510"/>
      <c r="R551" s="511"/>
      <c r="S551" s="478"/>
      <c r="T551" s="478"/>
      <c r="U551" s="478"/>
      <c r="V551" s="511"/>
      <c r="W551" s="512"/>
      <c r="X551" s="512"/>
      <c r="Y551" s="513"/>
      <c r="Z551" s="512"/>
      <c r="AA551" s="277"/>
      <c r="AB551" s="277"/>
      <c r="AC551" s="277"/>
      <c r="AD551" s="277"/>
      <c r="AE551" s="277"/>
      <c r="AF551" s="277"/>
      <c r="AG551" s="277"/>
      <c r="AH551" s="277"/>
      <c r="AI551" s="277"/>
      <c r="AJ551" s="277"/>
      <c r="AK551" s="277"/>
      <c r="AL551" s="277"/>
      <c r="AM551" s="277"/>
      <c r="AN551" s="277"/>
      <c r="AO551" s="277"/>
      <c r="AP551" s="514"/>
      <c r="AQ551" s="277"/>
      <c r="AR551" s="514"/>
      <c r="AS551" s="515"/>
    </row>
    <row r="552" spans="3:45" s="516" customFormat="1" x14ac:dyDescent="0.25">
      <c r="C552" s="478"/>
      <c r="D552" s="478"/>
      <c r="E552" s="473"/>
      <c r="F552" s="473"/>
      <c r="G552" s="509"/>
      <c r="H552" s="478"/>
      <c r="I552" s="478"/>
      <c r="J552" s="478"/>
      <c r="K552" s="478"/>
      <c r="L552" s="478"/>
      <c r="M552" s="510"/>
      <c r="N552" s="510"/>
      <c r="O552" s="510"/>
      <c r="P552" s="511"/>
      <c r="Q552" s="510"/>
      <c r="R552" s="511"/>
      <c r="S552" s="478"/>
      <c r="T552" s="478"/>
      <c r="U552" s="478"/>
      <c r="V552" s="511"/>
      <c r="W552" s="512"/>
      <c r="X552" s="512"/>
      <c r="Y552" s="513"/>
      <c r="Z552" s="512"/>
      <c r="AA552" s="277"/>
      <c r="AB552" s="277"/>
      <c r="AC552" s="277"/>
      <c r="AD552" s="277"/>
      <c r="AE552" s="277"/>
      <c r="AF552" s="277"/>
      <c r="AG552" s="277"/>
      <c r="AH552" s="277"/>
      <c r="AI552" s="277"/>
      <c r="AJ552" s="277"/>
      <c r="AK552" s="277"/>
      <c r="AL552" s="277"/>
      <c r="AM552" s="277"/>
      <c r="AN552" s="277"/>
      <c r="AO552" s="277"/>
      <c r="AP552" s="514"/>
      <c r="AQ552" s="277"/>
      <c r="AR552" s="514"/>
      <c r="AS552" s="515"/>
    </row>
    <row r="553" spans="3:45" s="516" customFormat="1" x14ac:dyDescent="0.25">
      <c r="C553" s="478"/>
      <c r="D553" s="478"/>
      <c r="E553" s="473"/>
      <c r="F553" s="473"/>
      <c r="G553" s="509"/>
      <c r="H553" s="478"/>
      <c r="I553" s="478"/>
      <c r="J553" s="478"/>
      <c r="K553" s="478"/>
      <c r="L553" s="478"/>
      <c r="M553" s="510"/>
      <c r="N553" s="510"/>
      <c r="O553" s="510"/>
      <c r="P553" s="511"/>
      <c r="Q553" s="510"/>
      <c r="R553" s="511"/>
      <c r="S553" s="478"/>
      <c r="T553" s="478"/>
      <c r="U553" s="478"/>
      <c r="V553" s="511"/>
      <c r="W553" s="512"/>
      <c r="X553" s="512"/>
      <c r="Y553" s="513"/>
      <c r="Z553" s="512"/>
      <c r="AA553" s="277"/>
      <c r="AB553" s="277"/>
      <c r="AC553" s="277"/>
      <c r="AD553" s="277"/>
      <c r="AE553" s="277"/>
      <c r="AF553" s="277"/>
      <c r="AG553" s="277"/>
      <c r="AH553" s="277"/>
      <c r="AI553" s="277"/>
      <c r="AJ553" s="277"/>
      <c r="AK553" s="277"/>
      <c r="AL553" s="277"/>
      <c r="AM553" s="277"/>
      <c r="AN553" s="277"/>
      <c r="AO553" s="277"/>
      <c r="AP553" s="514"/>
      <c r="AQ553" s="277"/>
      <c r="AR553" s="514"/>
      <c r="AS553" s="515"/>
    </row>
    <row r="554" spans="3:45" s="516" customFormat="1" x14ac:dyDescent="0.25">
      <c r="C554" s="478"/>
      <c r="D554" s="478"/>
      <c r="E554" s="473"/>
      <c r="F554" s="473"/>
      <c r="G554" s="509"/>
      <c r="H554" s="478"/>
      <c r="I554" s="478"/>
      <c r="J554" s="478"/>
      <c r="K554" s="478"/>
      <c r="L554" s="478"/>
      <c r="M554" s="510"/>
      <c r="N554" s="510"/>
      <c r="O554" s="510"/>
      <c r="P554" s="511"/>
      <c r="Q554" s="510"/>
      <c r="R554" s="511"/>
      <c r="S554" s="478"/>
      <c r="T554" s="478"/>
      <c r="U554" s="478"/>
      <c r="V554" s="511"/>
      <c r="W554" s="512"/>
      <c r="X554" s="512"/>
      <c r="Y554" s="513"/>
      <c r="Z554" s="512"/>
      <c r="AA554" s="277"/>
      <c r="AB554" s="277"/>
      <c r="AC554" s="277"/>
      <c r="AD554" s="277"/>
      <c r="AE554" s="277"/>
      <c r="AF554" s="277"/>
      <c r="AG554" s="277"/>
      <c r="AH554" s="277"/>
      <c r="AI554" s="277"/>
      <c r="AJ554" s="277"/>
      <c r="AK554" s="277"/>
      <c r="AL554" s="277"/>
      <c r="AM554" s="277"/>
      <c r="AN554" s="277"/>
      <c r="AO554" s="277"/>
      <c r="AP554" s="514"/>
      <c r="AQ554" s="277"/>
      <c r="AR554" s="514"/>
      <c r="AS554" s="515"/>
    </row>
    <row r="555" spans="3:45" s="516" customFormat="1" x14ac:dyDescent="0.25">
      <c r="C555" s="478"/>
      <c r="D555" s="478"/>
      <c r="E555" s="473"/>
      <c r="F555" s="473"/>
      <c r="G555" s="509"/>
      <c r="H555" s="478"/>
      <c r="I555" s="478"/>
      <c r="J555" s="478"/>
      <c r="K555" s="478"/>
      <c r="L555" s="478"/>
      <c r="M555" s="510"/>
      <c r="N555" s="510"/>
      <c r="O555" s="510"/>
      <c r="P555" s="511"/>
      <c r="Q555" s="510"/>
      <c r="R555" s="511"/>
      <c r="S555" s="478"/>
      <c r="T555" s="478"/>
      <c r="U555" s="478"/>
      <c r="V555" s="511"/>
      <c r="W555" s="512"/>
      <c r="X555" s="512"/>
      <c r="Y555" s="513"/>
      <c r="Z555" s="512"/>
      <c r="AA555" s="277"/>
      <c r="AB555" s="277"/>
      <c r="AC555" s="277"/>
      <c r="AD555" s="277"/>
      <c r="AE555" s="277"/>
      <c r="AF555" s="277"/>
      <c r="AG555" s="277"/>
      <c r="AH555" s="277"/>
      <c r="AI555" s="277"/>
      <c r="AJ555" s="277"/>
      <c r="AK555" s="277"/>
      <c r="AL555" s="277"/>
      <c r="AM555" s="277"/>
      <c r="AN555" s="277"/>
      <c r="AO555" s="277"/>
      <c r="AP555" s="514"/>
      <c r="AQ555" s="277"/>
      <c r="AR555" s="514"/>
      <c r="AS555" s="515"/>
    </row>
    <row r="556" spans="3:45" s="516" customFormat="1" x14ac:dyDescent="0.25">
      <c r="C556" s="478"/>
      <c r="D556" s="478"/>
      <c r="E556" s="473"/>
      <c r="F556" s="473"/>
      <c r="G556" s="509"/>
      <c r="H556" s="478"/>
      <c r="I556" s="478"/>
      <c r="J556" s="478"/>
      <c r="K556" s="478"/>
      <c r="L556" s="478"/>
      <c r="M556" s="510"/>
      <c r="N556" s="510"/>
      <c r="O556" s="510"/>
      <c r="P556" s="511"/>
      <c r="Q556" s="510"/>
      <c r="R556" s="511"/>
      <c r="S556" s="478"/>
      <c r="T556" s="478"/>
      <c r="U556" s="478"/>
      <c r="V556" s="511"/>
      <c r="W556" s="512"/>
      <c r="X556" s="512"/>
      <c r="Y556" s="513"/>
      <c r="Z556" s="512"/>
      <c r="AA556" s="277"/>
      <c r="AB556" s="277"/>
      <c r="AC556" s="277"/>
      <c r="AD556" s="277"/>
      <c r="AE556" s="277"/>
      <c r="AF556" s="277"/>
      <c r="AG556" s="277"/>
      <c r="AH556" s="277"/>
      <c r="AI556" s="277"/>
      <c r="AJ556" s="277"/>
      <c r="AK556" s="277"/>
      <c r="AL556" s="277"/>
      <c r="AM556" s="277"/>
      <c r="AN556" s="277"/>
      <c r="AO556" s="277"/>
      <c r="AP556" s="514"/>
      <c r="AQ556" s="277"/>
      <c r="AR556" s="514"/>
      <c r="AS556" s="515"/>
    </row>
    <row r="557" spans="3:45" s="516" customFormat="1" x14ac:dyDescent="0.25">
      <c r="C557" s="478"/>
      <c r="D557" s="478"/>
      <c r="E557" s="473"/>
      <c r="F557" s="473"/>
      <c r="G557" s="509"/>
      <c r="H557" s="478"/>
      <c r="I557" s="478"/>
      <c r="J557" s="478"/>
      <c r="K557" s="478"/>
      <c r="L557" s="478"/>
      <c r="M557" s="510"/>
      <c r="N557" s="510"/>
      <c r="O557" s="510"/>
      <c r="P557" s="511"/>
      <c r="Q557" s="510"/>
      <c r="R557" s="511"/>
      <c r="S557" s="478"/>
      <c r="T557" s="478"/>
      <c r="U557" s="478"/>
      <c r="V557" s="511"/>
      <c r="W557" s="512"/>
      <c r="X557" s="512"/>
      <c r="Y557" s="513"/>
      <c r="Z557" s="512"/>
      <c r="AA557" s="277"/>
      <c r="AB557" s="277"/>
      <c r="AC557" s="277"/>
      <c r="AD557" s="277"/>
      <c r="AE557" s="277"/>
      <c r="AF557" s="277"/>
      <c r="AG557" s="277"/>
      <c r="AH557" s="277"/>
      <c r="AI557" s="277"/>
      <c r="AJ557" s="277"/>
      <c r="AK557" s="277"/>
      <c r="AL557" s="277"/>
      <c r="AM557" s="277"/>
      <c r="AN557" s="277"/>
      <c r="AO557" s="277"/>
      <c r="AP557" s="514"/>
      <c r="AQ557" s="277"/>
      <c r="AR557" s="514"/>
      <c r="AS557" s="515"/>
    </row>
    <row r="558" spans="3:45" s="516" customFormat="1" x14ac:dyDescent="0.25">
      <c r="C558" s="478"/>
      <c r="D558" s="478"/>
      <c r="E558" s="473"/>
      <c r="F558" s="473"/>
      <c r="G558" s="509"/>
      <c r="H558" s="478"/>
      <c r="I558" s="478"/>
      <c r="J558" s="478"/>
      <c r="K558" s="478"/>
      <c r="L558" s="478"/>
      <c r="M558" s="510"/>
      <c r="N558" s="510"/>
      <c r="O558" s="510"/>
      <c r="P558" s="511"/>
      <c r="Q558" s="510"/>
      <c r="R558" s="511"/>
      <c r="S558" s="478"/>
      <c r="T558" s="478"/>
      <c r="U558" s="478"/>
      <c r="V558" s="511"/>
      <c r="W558" s="512"/>
      <c r="X558" s="512"/>
      <c r="Y558" s="513"/>
      <c r="Z558" s="512"/>
      <c r="AA558" s="277"/>
      <c r="AB558" s="277"/>
      <c r="AC558" s="277"/>
      <c r="AD558" s="277"/>
      <c r="AE558" s="277"/>
      <c r="AF558" s="277"/>
      <c r="AG558" s="277"/>
      <c r="AH558" s="277"/>
      <c r="AI558" s="277"/>
      <c r="AJ558" s="277"/>
      <c r="AK558" s="277"/>
      <c r="AL558" s="277"/>
      <c r="AM558" s="277"/>
      <c r="AN558" s="277"/>
      <c r="AO558" s="277"/>
      <c r="AP558" s="514"/>
      <c r="AQ558" s="277"/>
      <c r="AR558" s="514"/>
      <c r="AS558" s="515"/>
    </row>
    <row r="559" spans="3:45" s="516" customFormat="1" x14ac:dyDescent="0.25">
      <c r="C559" s="478"/>
      <c r="D559" s="478"/>
      <c r="E559" s="473"/>
      <c r="F559" s="473"/>
      <c r="G559" s="509"/>
      <c r="H559" s="478"/>
      <c r="I559" s="478"/>
      <c r="J559" s="478"/>
      <c r="K559" s="478"/>
      <c r="L559" s="478"/>
      <c r="M559" s="510"/>
      <c r="N559" s="510"/>
      <c r="O559" s="510"/>
      <c r="P559" s="511"/>
      <c r="Q559" s="510"/>
      <c r="R559" s="511"/>
      <c r="S559" s="478"/>
      <c r="T559" s="478"/>
      <c r="U559" s="478"/>
      <c r="V559" s="511"/>
      <c r="W559" s="512"/>
      <c r="X559" s="512"/>
      <c r="Y559" s="513"/>
      <c r="Z559" s="512"/>
      <c r="AA559" s="277"/>
      <c r="AB559" s="277"/>
      <c r="AC559" s="277"/>
      <c r="AD559" s="277"/>
      <c r="AE559" s="277"/>
      <c r="AF559" s="277"/>
      <c r="AG559" s="277"/>
      <c r="AH559" s="277"/>
      <c r="AI559" s="277"/>
      <c r="AJ559" s="277"/>
      <c r="AK559" s="277"/>
      <c r="AL559" s="277"/>
      <c r="AM559" s="277"/>
      <c r="AN559" s="277"/>
      <c r="AO559" s="277"/>
      <c r="AP559" s="514"/>
      <c r="AQ559" s="277"/>
      <c r="AR559" s="514"/>
      <c r="AS559" s="515"/>
    </row>
    <row r="560" spans="3:45" s="516" customFormat="1" x14ac:dyDescent="0.25">
      <c r="C560" s="478"/>
      <c r="D560" s="478"/>
      <c r="E560" s="473"/>
      <c r="F560" s="473"/>
      <c r="G560" s="509"/>
      <c r="H560" s="478"/>
      <c r="I560" s="478"/>
      <c r="J560" s="478"/>
      <c r="K560" s="478"/>
      <c r="L560" s="478"/>
      <c r="M560" s="510"/>
      <c r="N560" s="510"/>
      <c r="O560" s="510"/>
      <c r="P560" s="511"/>
      <c r="Q560" s="510"/>
      <c r="R560" s="511"/>
      <c r="S560" s="478"/>
      <c r="T560" s="478"/>
      <c r="U560" s="478"/>
      <c r="V560" s="511"/>
      <c r="W560" s="512"/>
      <c r="X560" s="512"/>
      <c r="Y560" s="513"/>
      <c r="Z560" s="512"/>
      <c r="AA560" s="277"/>
      <c r="AB560" s="277"/>
      <c r="AC560" s="277"/>
      <c r="AD560" s="277"/>
      <c r="AE560" s="277"/>
      <c r="AF560" s="277"/>
      <c r="AG560" s="277"/>
      <c r="AH560" s="277"/>
      <c r="AI560" s="277"/>
      <c r="AJ560" s="277"/>
      <c r="AK560" s="277"/>
      <c r="AL560" s="277"/>
      <c r="AM560" s="277"/>
      <c r="AN560" s="277"/>
      <c r="AO560" s="277"/>
      <c r="AP560" s="514"/>
      <c r="AQ560" s="277"/>
      <c r="AR560" s="514"/>
      <c r="AS560" s="515"/>
    </row>
    <row r="561" spans="3:45" s="516" customFormat="1" x14ac:dyDescent="0.25">
      <c r="C561" s="478"/>
      <c r="D561" s="478"/>
      <c r="E561" s="473"/>
      <c r="F561" s="473"/>
      <c r="G561" s="509"/>
      <c r="H561" s="478"/>
      <c r="I561" s="478"/>
      <c r="J561" s="478"/>
      <c r="K561" s="478"/>
      <c r="L561" s="478"/>
      <c r="M561" s="510"/>
      <c r="N561" s="510"/>
      <c r="O561" s="510"/>
      <c r="P561" s="511"/>
      <c r="Q561" s="510"/>
      <c r="R561" s="511"/>
      <c r="S561" s="478"/>
      <c r="T561" s="478"/>
      <c r="U561" s="478"/>
      <c r="V561" s="511"/>
      <c r="W561" s="512"/>
      <c r="X561" s="512"/>
      <c r="Y561" s="513"/>
      <c r="Z561" s="512"/>
      <c r="AA561" s="277"/>
      <c r="AB561" s="277"/>
      <c r="AC561" s="277"/>
      <c r="AD561" s="277"/>
      <c r="AE561" s="277"/>
      <c r="AF561" s="277"/>
      <c r="AG561" s="277"/>
      <c r="AH561" s="277"/>
      <c r="AI561" s="277"/>
      <c r="AJ561" s="277"/>
      <c r="AK561" s="277"/>
      <c r="AL561" s="277"/>
      <c r="AM561" s="277"/>
      <c r="AN561" s="277"/>
      <c r="AO561" s="277"/>
      <c r="AP561" s="514"/>
      <c r="AQ561" s="277"/>
      <c r="AR561" s="514"/>
      <c r="AS561" s="515"/>
    </row>
    <row r="562" spans="3:45" s="516" customFormat="1" x14ac:dyDescent="0.25">
      <c r="C562" s="478"/>
      <c r="D562" s="478"/>
      <c r="E562" s="473"/>
      <c r="F562" s="473"/>
      <c r="G562" s="509"/>
      <c r="H562" s="478"/>
      <c r="I562" s="478"/>
      <c r="J562" s="478"/>
      <c r="K562" s="478"/>
      <c r="L562" s="478"/>
      <c r="M562" s="510"/>
      <c r="N562" s="510"/>
      <c r="O562" s="510"/>
      <c r="P562" s="511"/>
      <c r="Q562" s="510"/>
      <c r="R562" s="511"/>
      <c r="S562" s="478"/>
      <c r="T562" s="478"/>
      <c r="U562" s="478"/>
      <c r="V562" s="511"/>
      <c r="W562" s="512"/>
      <c r="X562" s="512"/>
      <c r="Y562" s="513"/>
      <c r="Z562" s="512"/>
      <c r="AA562" s="277"/>
      <c r="AB562" s="277"/>
      <c r="AC562" s="277"/>
      <c r="AD562" s="277"/>
      <c r="AE562" s="277"/>
      <c r="AF562" s="277"/>
      <c r="AG562" s="277"/>
      <c r="AH562" s="277"/>
      <c r="AI562" s="277"/>
      <c r="AJ562" s="277"/>
      <c r="AK562" s="277"/>
      <c r="AL562" s="277"/>
      <c r="AM562" s="277"/>
      <c r="AN562" s="277"/>
      <c r="AO562" s="277"/>
      <c r="AP562" s="514"/>
      <c r="AQ562" s="277"/>
      <c r="AR562" s="514"/>
      <c r="AS562" s="515"/>
    </row>
    <row r="563" spans="3:45" s="516" customFormat="1" x14ac:dyDescent="0.25">
      <c r="C563" s="478"/>
      <c r="D563" s="478"/>
      <c r="E563" s="473"/>
      <c r="F563" s="473"/>
      <c r="G563" s="509"/>
      <c r="H563" s="478"/>
      <c r="I563" s="478"/>
      <c r="J563" s="478"/>
      <c r="K563" s="478"/>
      <c r="L563" s="478"/>
      <c r="M563" s="510"/>
      <c r="N563" s="510"/>
      <c r="O563" s="510"/>
      <c r="P563" s="511"/>
      <c r="Q563" s="510"/>
      <c r="R563" s="511"/>
      <c r="S563" s="478"/>
      <c r="T563" s="478"/>
      <c r="U563" s="478"/>
      <c r="V563" s="511"/>
      <c r="W563" s="512"/>
      <c r="X563" s="512"/>
      <c r="Y563" s="513"/>
      <c r="Z563" s="512"/>
      <c r="AA563" s="277"/>
      <c r="AB563" s="277"/>
      <c r="AC563" s="277"/>
      <c r="AD563" s="277"/>
      <c r="AE563" s="277"/>
      <c r="AF563" s="277"/>
      <c r="AG563" s="277"/>
      <c r="AH563" s="277"/>
      <c r="AI563" s="277"/>
      <c r="AJ563" s="277"/>
      <c r="AK563" s="277"/>
      <c r="AL563" s="277"/>
      <c r="AM563" s="277"/>
      <c r="AN563" s="277"/>
      <c r="AO563" s="277"/>
      <c r="AP563" s="514"/>
      <c r="AQ563" s="277"/>
      <c r="AR563" s="514"/>
      <c r="AS563" s="515"/>
    </row>
    <row r="564" spans="3:45" s="516" customFormat="1" x14ac:dyDescent="0.25">
      <c r="C564" s="478"/>
      <c r="D564" s="478"/>
      <c r="E564" s="473"/>
      <c r="F564" s="473"/>
      <c r="G564" s="509"/>
      <c r="H564" s="478"/>
      <c r="I564" s="478"/>
      <c r="J564" s="478"/>
      <c r="K564" s="478"/>
      <c r="L564" s="478"/>
      <c r="M564" s="510"/>
      <c r="N564" s="510"/>
      <c r="O564" s="510"/>
      <c r="P564" s="511"/>
      <c r="Q564" s="510"/>
      <c r="R564" s="511"/>
      <c r="S564" s="478"/>
      <c r="T564" s="478"/>
      <c r="U564" s="478"/>
      <c r="V564" s="511"/>
      <c r="W564" s="512"/>
      <c r="X564" s="512"/>
      <c r="Y564" s="513"/>
      <c r="Z564" s="512"/>
      <c r="AA564" s="277"/>
      <c r="AB564" s="277"/>
      <c r="AC564" s="277"/>
      <c r="AD564" s="277"/>
      <c r="AE564" s="277"/>
      <c r="AF564" s="277"/>
      <c r="AG564" s="277"/>
      <c r="AH564" s="277"/>
      <c r="AI564" s="277"/>
      <c r="AJ564" s="277"/>
      <c r="AK564" s="277"/>
      <c r="AL564" s="277"/>
      <c r="AM564" s="277"/>
      <c r="AN564" s="277"/>
      <c r="AO564" s="277"/>
      <c r="AP564" s="514"/>
      <c r="AQ564" s="277"/>
      <c r="AR564" s="514"/>
      <c r="AS564" s="515"/>
    </row>
    <row r="565" spans="3:45" s="516" customFormat="1" x14ac:dyDescent="0.25">
      <c r="C565" s="478"/>
      <c r="D565" s="478"/>
      <c r="E565" s="473"/>
      <c r="F565" s="473"/>
      <c r="G565" s="509"/>
      <c r="H565" s="478"/>
      <c r="I565" s="478"/>
      <c r="J565" s="478"/>
      <c r="K565" s="478"/>
      <c r="L565" s="478"/>
      <c r="M565" s="510"/>
      <c r="N565" s="510"/>
      <c r="O565" s="510"/>
      <c r="P565" s="511"/>
      <c r="Q565" s="510"/>
      <c r="R565" s="511"/>
      <c r="S565" s="478"/>
      <c r="T565" s="478"/>
      <c r="U565" s="478"/>
      <c r="V565" s="511"/>
      <c r="W565" s="512"/>
      <c r="X565" s="512"/>
      <c r="Y565" s="513"/>
      <c r="Z565" s="512"/>
      <c r="AA565" s="277"/>
      <c r="AB565" s="277"/>
      <c r="AC565" s="277"/>
      <c r="AD565" s="277"/>
      <c r="AE565" s="277"/>
      <c r="AF565" s="277"/>
      <c r="AG565" s="277"/>
      <c r="AH565" s="277"/>
      <c r="AI565" s="277"/>
      <c r="AJ565" s="277"/>
      <c r="AK565" s="277"/>
      <c r="AL565" s="277"/>
      <c r="AM565" s="277"/>
      <c r="AN565" s="277"/>
      <c r="AO565" s="277"/>
      <c r="AP565" s="514"/>
      <c r="AQ565" s="277"/>
      <c r="AR565" s="514"/>
      <c r="AS565" s="515"/>
    </row>
    <row r="566" spans="3:45" s="516" customFormat="1" x14ac:dyDescent="0.25">
      <c r="C566" s="478"/>
      <c r="D566" s="478"/>
      <c r="E566" s="473"/>
      <c r="F566" s="473"/>
      <c r="G566" s="509"/>
      <c r="H566" s="478"/>
      <c r="I566" s="478"/>
      <c r="J566" s="478"/>
      <c r="K566" s="478"/>
      <c r="L566" s="478"/>
      <c r="M566" s="510"/>
      <c r="N566" s="510"/>
      <c r="O566" s="510"/>
      <c r="P566" s="511"/>
      <c r="Q566" s="510"/>
      <c r="R566" s="511"/>
      <c r="S566" s="478"/>
      <c r="T566" s="478"/>
      <c r="U566" s="478"/>
      <c r="V566" s="511"/>
      <c r="W566" s="512"/>
      <c r="X566" s="512"/>
      <c r="Y566" s="513"/>
      <c r="Z566" s="512"/>
      <c r="AA566" s="277"/>
      <c r="AB566" s="277"/>
      <c r="AC566" s="277"/>
      <c r="AD566" s="277"/>
      <c r="AE566" s="277"/>
      <c r="AF566" s="277"/>
      <c r="AG566" s="277"/>
      <c r="AH566" s="277"/>
      <c r="AI566" s="277"/>
      <c r="AJ566" s="277"/>
      <c r="AK566" s="277"/>
      <c r="AL566" s="277"/>
      <c r="AM566" s="277"/>
      <c r="AN566" s="277"/>
      <c r="AO566" s="277"/>
      <c r="AP566" s="514"/>
      <c r="AQ566" s="277"/>
      <c r="AR566" s="514"/>
      <c r="AS566" s="515"/>
    </row>
    <row r="567" spans="3:45" s="516" customFormat="1" x14ac:dyDescent="0.25">
      <c r="C567" s="478"/>
      <c r="D567" s="478"/>
      <c r="E567" s="473"/>
      <c r="F567" s="473"/>
      <c r="G567" s="509"/>
      <c r="H567" s="478"/>
      <c r="I567" s="478"/>
      <c r="J567" s="478"/>
      <c r="K567" s="478"/>
      <c r="L567" s="478"/>
      <c r="M567" s="510"/>
      <c r="N567" s="510"/>
      <c r="O567" s="510"/>
      <c r="P567" s="511"/>
      <c r="Q567" s="510"/>
      <c r="R567" s="511"/>
      <c r="S567" s="478"/>
      <c r="T567" s="478"/>
      <c r="U567" s="478"/>
      <c r="V567" s="511"/>
      <c r="W567" s="512"/>
      <c r="X567" s="512"/>
      <c r="Y567" s="513"/>
      <c r="Z567" s="512"/>
      <c r="AA567" s="277"/>
      <c r="AB567" s="277"/>
      <c r="AC567" s="277"/>
      <c r="AD567" s="277"/>
      <c r="AE567" s="277"/>
      <c r="AF567" s="277"/>
      <c r="AG567" s="277"/>
      <c r="AH567" s="277"/>
      <c r="AI567" s="277"/>
      <c r="AJ567" s="277"/>
      <c r="AK567" s="277"/>
      <c r="AL567" s="277"/>
      <c r="AM567" s="277"/>
      <c r="AN567" s="277"/>
      <c r="AO567" s="277"/>
      <c r="AP567" s="514"/>
      <c r="AQ567" s="277"/>
      <c r="AR567" s="514"/>
      <c r="AS567" s="515"/>
    </row>
    <row r="568" spans="3:45" s="516" customFormat="1" x14ac:dyDescent="0.25">
      <c r="C568" s="478"/>
      <c r="D568" s="478"/>
      <c r="E568" s="473"/>
      <c r="F568" s="473"/>
      <c r="G568" s="509"/>
      <c r="H568" s="478"/>
      <c r="I568" s="478"/>
      <c r="J568" s="478"/>
      <c r="K568" s="478"/>
      <c r="L568" s="478"/>
      <c r="M568" s="510"/>
      <c r="N568" s="510"/>
      <c r="O568" s="510"/>
      <c r="P568" s="511"/>
      <c r="Q568" s="510"/>
      <c r="R568" s="511"/>
      <c r="S568" s="478"/>
      <c r="T568" s="478"/>
      <c r="U568" s="478"/>
      <c r="V568" s="511"/>
      <c r="W568" s="512"/>
      <c r="X568" s="512"/>
      <c r="Y568" s="513"/>
      <c r="Z568" s="512"/>
      <c r="AA568" s="277"/>
      <c r="AB568" s="277"/>
      <c r="AC568" s="277"/>
      <c r="AD568" s="277"/>
      <c r="AE568" s="277"/>
      <c r="AF568" s="277"/>
      <c r="AG568" s="277"/>
      <c r="AH568" s="277"/>
      <c r="AI568" s="277"/>
      <c r="AJ568" s="277"/>
      <c r="AK568" s="277"/>
      <c r="AL568" s="277"/>
      <c r="AM568" s="277"/>
      <c r="AN568" s="277"/>
      <c r="AO568" s="277"/>
      <c r="AP568" s="514"/>
      <c r="AQ568" s="277"/>
      <c r="AR568" s="514"/>
      <c r="AS568" s="515"/>
    </row>
    <row r="569" spans="3:45" s="516" customFormat="1" x14ac:dyDescent="0.25">
      <c r="C569" s="478"/>
      <c r="D569" s="478"/>
      <c r="E569" s="473"/>
      <c r="F569" s="473"/>
      <c r="G569" s="509"/>
      <c r="H569" s="478"/>
      <c r="I569" s="478"/>
      <c r="J569" s="478"/>
      <c r="K569" s="478"/>
      <c r="L569" s="478"/>
      <c r="M569" s="510"/>
      <c r="N569" s="510"/>
      <c r="O569" s="510"/>
      <c r="P569" s="511"/>
      <c r="Q569" s="510"/>
      <c r="R569" s="511"/>
      <c r="S569" s="478"/>
      <c r="T569" s="478"/>
      <c r="U569" s="478"/>
      <c r="V569" s="511"/>
      <c r="W569" s="512"/>
      <c r="X569" s="512"/>
      <c r="Y569" s="513"/>
      <c r="Z569" s="512"/>
      <c r="AA569" s="277"/>
      <c r="AB569" s="277"/>
      <c r="AC569" s="277"/>
      <c r="AD569" s="277"/>
      <c r="AE569" s="277"/>
      <c r="AF569" s="277"/>
      <c r="AG569" s="277"/>
      <c r="AH569" s="277"/>
      <c r="AI569" s="277"/>
      <c r="AJ569" s="277"/>
      <c r="AK569" s="277"/>
      <c r="AL569" s="277"/>
      <c r="AM569" s="277"/>
      <c r="AN569" s="277"/>
      <c r="AO569" s="277"/>
      <c r="AP569" s="514"/>
      <c r="AQ569" s="277"/>
      <c r="AR569" s="514"/>
      <c r="AS569" s="515"/>
    </row>
    <row r="570" spans="3:45" s="516" customFormat="1" x14ac:dyDescent="0.25">
      <c r="C570" s="478"/>
      <c r="D570" s="478"/>
      <c r="E570" s="473"/>
      <c r="F570" s="473"/>
      <c r="G570" s="509"/>
      <c r="H570" s="478"/>
      <c r="I570" s="478"/>
      <c r="J570" s="478"/>
      <c r="K570" s="478"/>
      <c r="L570" s="478"/>
      <c r="M570" s="510"/>
      <c r="N570" s="510"/>
      <c r="O570" s="510"/>
      <c r="P570" s="511"/>
      <c r="Q570" s="510"/>
      <c r="R570" s="511"/>
      <c r="S570" s="478"/>
      <c r="T570" s="478"/>
      <c r="U570" s="478"/>
      <c r="V570" s="511"/>
      <c r="W570" s="512"/>
      <c r="X570" s="512"/>
      <c r="Y570" s="513"/>
      <c r="Z570" s="512"/>
      <c r="AA570" s="277"/>
      <c r="AB570" s="277"/>
      <c r="AC570" s="277"/>
      <c r="AD570" s="277"/>
      <c r="AE570" s="277"/>
      <c r="AF570" s="277"/>
      <c r="AG570" s="277"/>
      <c r="AH570" s="277"/>
      <c r="AI570" s="277"/>
      <c r="AJ570" s="277"/>
      <c r="AK570" s="277"/>
      <c r="AL570" s="277"/>
      <c r="AM570" s="277"/>
      <c r="AN570" s="277"/>
      <c r="AO570" s="277"/>
      <c r="AP570" s="514"/>
      <c r="AQ570" s="277"/>
      <c r="AR570" s="514"/>
      <c r="AS570" s="515"/>
    </row>
    <row r="571" spans="3:45" s="516" customFormat="1" x14ac:dyDescent="0.25">
      <c r="C571" s="478"/>
      <c r="D571" s="478"/>
      <c r="E571" s="473"/>
      <c r="F571" s="473"/>
      <c r="G571" s="509"/>
      <c r="H571" s="478"/>
      <c r="I571" s="478"/>
      <c r="J571" s="478"/>
      <c r="K571" s="478"/>
      <c r="L571" s="478"/>
      <c r="M571" s="510"/>
      <c r="N571" s="510"/>
      <c r="O571" s="510"/>
      <c r="P571" s="511"/>
      <c r="Q571" s="510"/>
      <c r="R571" s="511"/>
      <c r="S571" s="478"/>
      <c r="T571" s="478"/>
      <c r="U571" s="478"/>
      <c r="V571" s="511"/>
      <c r="W571" s="512"/>
      <c r="X571" s="512"/>
      <c r="Y571" s="513"/>
      <c r="Z571" s="512"/>
      <c r="AA571" s="277"/>
      <c r="AB571" s="277"/>
      <c r="AC571" s="277"/>
      <c r="AD571" s="277"/>
      <c r="AE571" s="277"/>
      <c r="AF571" s="277"/>
      <c r="AG571" s="277"/>
      <c r="AH571" s="277"/>
      <c r="AI571" s="277"/>
      <c r="AJ571" s="277"/>
      <c r="AK571" s="277"/>
      <c r="AL571" s="277"/>
      <c r="AM571" s="277"/>
      <c r="AN571" s="277"/>
      <c r="AO571" s="277"/>
      <c r="AP571" s="514"/>
      <c r="AQ571" s="277"/>
      <c r="AR571" s="514"/>
      <c r="AS571" s="515"/>
    </row>
    <row r="572" spans="3:45" s="516" customFormat="1" x14ac:dyDescent="0.25">
      <c r="C572" s="478"/>
      <c r="D572" s="478"/>
      <c r="E572" s="473"/>
      <c r="F572" s="473"/>
      <c r="G572" s="509"/>
      <c r="H572" s="478"/>
      <c r="I572" s="478"/>
      <c r="J572" s="478"/>
      <c r="K572" s="478"/>
      <c r="L572" s="478"/>
      <c r="M572" s="510"/>
      <c r="N572" s="510"/>
      <c r="O572" s="510"/>
      <c r="P572" s="511"/>
      <c r="Q572" s="510"/>
      <c r="R572" s="511"/>
      <c r="S572" s="478"/>
      <c r="T572" s="478"/>
      <c r="U572" s="478"/>
      <c r="V572" s="511"/>
      <c r="W572" s="512"/>
      <c r="X572" s="512"/>
      <c r="Y572" s="513"/>
      <c r="Z572" s="512"/>
      <c r="AA572" s="277"/>
      <c r="AB572" s="277"/>
      <c r="AC572" s="277"/>
      <c r="AD572" s="277"/>
      <c r="AE572" s="277"/>
      <c r="AF572" s="277"/>
      <c r="AG572" s="277"/>
      <c r="AH572" s="277"/>
      <c r="AI572" s="277"/>
      <c r="AJ572" s="277"/>
      <c r="AK572" s="277"/>
      <c r="AL572" s="277"/>
      <c r="AM572" s="277"/>
      <c r="AN572" s="277"/>
      <c r="AO572" s="277"/>
      <c r="AP572" s="514"/>
      <c r="AQ572" s="277"/>
      <c r="AR572" s="514"/>
      <c r="AS572" s="515"/>
    </row>
    <row r="573" spans="3:45" s="516" customFormat="1" x14ac:dyDescent="0.25">
      <c r="C573" s="478"/>
      <c r="D573" s="478"/>
      <c r="E573" s="473"/>
      <c r="F573" s="473"/>
      <c r="G573" s="509"/>
      <c r="H573" s="478"/>
      <c r="I573" s="478"/>
      <c r="J573" s="478"/>
      <c r="K573" s="478"/>
      <c r="L573" s="478"/>
      <c r="M573" s="510"/>
      <c r="N573" s="510"/>
      <c r="O573" s="510"/>
      <c r="P573" s="511"/>
      <c r="Q573" s="510"/>
      <c r="R573" s="511"/>
      <c r="S573" s="478"/>
      <c r="T573" s="478"/>
      <c r="U573" s="478"/>
      <c r="V573" s="511"/>
      <c r="W573" s="512"/>
      <c r="X573" s="512"/>
      <c r="Y573" s="513"/>
      <c r="Z573" s="512"/>
      <c r="AA573" s="277"/>
      <c r="AB573" s="277"/>
      <c r="AC573" s="277"/>
      <c r="AD573" s="277"/>
      <c r="AE573" s="277"/>
      <c r="AF573" s="277"/>
      <c r="AG573" s="277"/>
      <c r="AH573" s="277"/>
      <c r="AI573" s="277"/>
      <c r="AJ573" s="277"/>
      <c r="AK573" s="277"/>
      <c r="AL573" s="277"/>
      <c r="AM573" s="277"/>
      <c r="AN573" s="277"/>
      <c r="AO573" s="277"/>
      <c r="AP573" s="514"/>
      <c r="AQ573" s="277"/>
      <c r="AR573" s="514"/>
      <c r="AS573" s="515"/>
    </row>
    <row r="574" spans="3:45" s="516" customFormat="1" x14ac:dyDescent="0.25">
      <c r="C574" s="478"/>
      <c r="D574" s="478"/>
      <c r="E574" s="473"/>
      <c r="F574" s="473"/>
      <c r="G574" s="509"/>
      <c r="H574" s="478"/>
      <c r="I574" s="478"/>
      <c r="J574" s="478"/>
      <c r="K574" s="478"/>
      <c r="L574" s="478"/>
      <c r="M574" s="510"/>
      <c r="N574" s="510"/>
      <c r="O574" s="510"/>
      <c r="P574" s="511"/>
      <c r="Q574" s="510"/>
      <c r="R574" s="511"/>
      <c r="S574" s="478"/>
      <c r="T574" s="478"/>
      <c r="U574" s="478"/>
      <c r="V574" s="511"/>
      <c r="W574" s="512"/>
      <c r="X574" s="512"/>
      <c r="Y574" s="513"/>
      <c r="Z574" s="512"/>
      <c r="AA574" s="277"/>
      <c r="AB574" s="277"/>
      <c r="AC574" s="277"/>
      <c r="AD574" s="277"/>
      <c r="AE574" s="277"/>
      <c r="AF574" s="277"/>
      <c r="AG574" s="277"/>
      <c r="AH574" s="277"/>
      <c r="AI574" s="277"/>
      <c r="AJ574" s="277"/>
      <c r="AK574" s="277"/>
      <c r="AL574" s="277"/>
      <c r="AM574" s="277"/>
      <c r="AN574" s="277"/>
      <c r="AO574" s="277"/>
      <c r="AP574" s="514"/>
      <c r="AQ574" s="277"/>
      <c r="AR574" s="514"/>
      <c r="AS574" s="515"/>
    </row>
    <row r="575" spans="3:45" s="516" customFormat="1" x14ac:dyDescent="0.25">
      <c r="C575" s="478"/>
      <c r="D575" s="478"/>
      <c r="E575" s="473"/>
      <c r="F575" s="473"/>
      <c r="G575" s="509"/>
      <c r="H575" s="478"/>
      <c r="I575" s="478"/>
      <c r="J575" s="478"/>
      <c r="K575" s="478"/>
      <c r="L575" s="478"/>
      <c r="M575" s="510"/>
      <c r="N575" s="510"/>
      <c r="O575" s="510"/>
      <c r="P575" s="511"/>
      <c r="Q575" s="510"/>
      <c r="R575" s="511"/>
      <c r="S575" s="478"/>
      <c r="T575" s="478"/>
      <c r="U575" s="478"/>
      <c r="V575" s="511"/>
      <c r="W575" s="512"/>
      <c r="X575" s="512"/>
      <c r="Y575" s="513"/>
      <c r="Z575" s="512"/>
      <c r="AA575" s="277"/>
      <c r="AB575" s="277"/>
      <c r="AC575" s="277"/>
      <c r="AD575" s="277"/>
      <c r="AE575" s="277"/>
      <c r="AF575" s="277"/>
      <c r="AG575" s="277"/>
      <c r="AH575" s="277"/>
      <c r="AI575" s="277"/>
      <c r="AJ575" s="277"/>
      <c r="AK575" s="277"/>
      <c r="AL575" s="277"/>
      <c r="AM575" s="277"/>
      <c r="AN575" s="277"/>
      <c r="AO575" s="277"/>
      <c r="AP575" s="514"/>
      <c r="AQ575" s="277"/>
      <c r="AR575" s="514"/>
      <c r="AS575" s="515"/>
    </row>
    <row r="576" spans="3:45" s="516" customFormat="1" x14ac:dyDescent="0.25">
      <c r="C576" s="478"/>
      <c r="D576" s="478"/>
      <c r="E576" s="473"/>
      <c r="F576" s="473"/>
      <c r="G576" s="509"/>
      <c r="H576" s="478"/>
      <c r="I576" s="478"/>
      <c r="J576" s="478"/>
      <c r="K576" s="478"/>
      <c r="L576" s="478"/>
      <c r="M576" s="510"/>
      <c r="N576" s="510"/>
      <c r="O576" s="510"/>
      <c r="P576" s="511"/>
      <c r="Q576" s="510"/>
      <c r="R576" s="511"/>
      <c r="S576" s="478"/>
      <c r="T576" s="478"/>
      <c r="U576" s="478"/>
      <c r="V576" s="511"/>
      <c r="W576" s="512"/>
      <c r="X576" s="512"/>
      <c r="Y576" s="513"/>
      <c r="Z576" s="512"/>
      <c r="AA576" s="277"/>
      <c r="AB576" s="277"/>
      <c r="AC576" s="277"/>
      <c r="AD576" s="277"/>
      <c r="AE576" s="277"/>
      <c r="AF576" s="277"/>
      <c r="AG576" s="277"/>
      <c r="AH576" s="277"/>
      <c r="AI576" s="277"/>
      <c r="AJ576" s="277"/>
      <c r="AK576" s="277"/>
      <c r="AL576" s="277"/>
      <c r="AM576" s="277"/>
      <c r="AN576" s="277"/>
      <c r="AO576" s="277"/>
      <c r="AP576" s="514"/>
      <c r="AQ576" s="277"/>
      <c r="AR576" s="514"/>
      <c r="AS576" s="515"/>
    </row>
    <row r="577" spans="3:45" s="516" customFormat="1" x14ac:dyDescent="0.25">
      <c r="C577" s="478"/>
      <c r="D577" s="478"/>
      <c r="E577" s="473"/>
      <c r="F577" s="473"/>
      <c r="G577" s="509"/>
      <c r="H577" s="478"/>
      <c r="I577" s="478"/>
      <c r="J577" s="478"/>
      <c r="K577" s="478"/>
      <c r="L577" s="478"/>
      <c r="M577" s="510"/>
      <c r="N577" s="510"/>
      <c r="O577" s="510"/>
      <c r="P577" s="511"/>
      <c r="Q577" s="510"/>
      <c r="R577" s="511"/>
      <c r="S577" s="478"/>
      <c r="T577" s="478"/>
      <c r="U577" s="478"/>
      <c r="V577" s="511"/>
      <c r="W577" s="512"/>
      <c r="X577" s="512"/>
      <c r="Y577" s="513"/>
      <c r="Z577" s="512"/>
      <c r="AA577" s="277"/>
      <c r="AB577" s="277"/>
      <c r="AC577" s="277"/>
      <c r="AD577" s="277"/>
      <c r="AE577" s="277"/>
      <c r="AF577" s="277"/>
      <c r="AG577" s="277"/>
      <c r="AH577" s="277"/>
      <c r="AI577" s="277"/>
      <c r="AJ577" s="277"/>
      <c r="AK577" s="277"/>
      <c r="AL577" s="277"/>
      <c r="AM577" s="277"/>
      <c r="AN577" s="277"/>
      <c r="AO577" s="277"/>
      <c r="AP577" s="514"/>
      <c r="AQ577" s="277"/>
      <c r="AR577" s="514"/>
      <c r="AS577" s="515"/>
    </row>
    <row r="578" spans="3:45" s="516" customFormat="1" x14ac:dyDescent="0.25">
      <c r="C578" s="478"/>
      <c r="D578" s="478"/>
      <c r="E578" s="473"/>
      <c r="F578" s="473"/>
      <c r="G578" s="509"/>
      <c r="H578" s="478"/>
      <c r="I578" s="478"/>
      <c r="J578" s="478"/>
      <c r="K578" s="478"/>
      <c r="L578" s="478"/>
      <c r="M578" s="510"/>
      <c r="N578" s="510"/>
      <c r="O578" s="510"/>
      <c r="P578" s="511"/>
      <c r="Q578" s="510"/>
      <c r="R578" s="511"/>
      <c r="S578" s="478"/>
      <c r="T578" s="478"/>
      <c r="U578" s="478"/>
      <c r="V578" s="511"/>
      <c r="W578" s="512"/>
      <c r="X578" s="512"/>
      <c r="Y578" s="513"/>
      <c r="Z578" s="512"/>
      <c r="AA578" s="277"/>
      <c r="AB578" s="277"/>
      <c r="AC578" s="277"/>
      <c r="AD578" s="277"/>
      <c r="AE578" s="277"/>
      <c r="AF578" s="277"/>
      <c r="AG578" s="277"/>
      <c r="AH578" s="277"/>
      <c r="AI578" s="277"/>
      <c r="AJ578" s="277"/>
      <c r="AK578" s="277"/>
      <c r="AL578" s="277"/>
      <c r="AM578" s="277"/>
      <c r="AN578" s="277"/>
      <c r="AO578" s="277"/>
      <c r="AP578" s="514"/>
      <c r="AQ578" s="277"/>
      <c r="AR578" s="514"/>
      <c r="AS578" s="515"/>
    </row>
    <row r="579" spans="3:45" s="516" customFormat="1" x14ac:dyDescent="0.25">
      <c r="C579" s="478"/>
      <c r="D579" s="478"/>
      <c r="E579" s="473"/>
      <c r="F579" s="473"/>
      <c r="G579" s="509"/>
      <c r="H579" s="478"/>
      <c r="I579" s="478"/>
      <c r="J579" s="478"/>
      <c r="K579" s="478"/>
      <c r="L579" s="478"/>
      <c r="M579" s="510"/>
      <c r="N579" s="510"/>
      <c r="O579" s="510"/>
      <c r="P579" s="511"/>
      <c r="Q579" s="510"/>
      <c r="R579" s="511"/>
      <c r="S579" s="478"/>
      <c r="T579" s="478"/>
      <c r="U579" s="478"/>
      <c r="V579" s="511"/>
      <c r="W579" s="512"/>
      <c r="X579" s="512"/>
      <c r="Y579" s="513"/>
      <c r="Z579" s="512"/>
      <c r="AA579" s="277"/>
      <c r="AB579" s="277"/>
      <c r="AC579" s="277"/>
      <c r="AD579" s="277"/>
      <c r="AE579" s="277"/>
      <c r="AF579" s="277"/>
      <c r="AG579" s="277"/>
      <c r="AH579" s="277"/>
      <c r="AI579" s="277"/>
      <c r="AJ579" s="277"/>
      <c r="AK579" s="277"/>
      <c r="AL579" s="277"/>
      <c r="AM579" s="277"/>
      <c r="AN579" s="277"/>
      <c r="AO579" s="277"/>
      <c r="AP579" s="514"/>
      <c r="AQ579" s="277"/>
      <c r="AR579" s="514"/>
      <c r="AS579" s="515"/>
    </row>
    <row r="580" spans="3:45" s="516" customFormat="1" x14ac:dyDescent="0.25">
      <c r="C580" s="478"/>
      <c r="D580" s="478"/>
      <c r="E580" s="473"/>
      <c r="F580" s="473"/>
      <c r="G580" s="509"/>
      <c r="H580" s="478"/>
      <c r="I580" s="478"/>
      <c r="J580" s="478"/>
      <c r="K580" s="478"/>
      <c r="L580" s="478"/>
      <c r="M580" s="510"/>
      <c r="N580" s="510"/>
      <c r="O580" s="510"/>
      <c r="P580" s="511"/>
      <c r="Q580" s="510"/>
      <c r="R580" s="511"/>
      <c r="S580" s="478"/>
      <c r="T580" s="478"/>
      <c r="U580" s="478"/>
      <c r="V580" s="511"/>
      <c r="W580" s="512"/>
      <c r="X580" s="512"/>
      <c r="Y580" s="513"/>
      <c r="Z580" s="512"/>
      <c r="AA580" s="277"/>
      <c r="AB580" s="277"/>
      <c r="AC580" s="277"/>
      <c r="AD580" s="277"/>
      <c r="AE580" s="277"/>
      <c r="AF580" s="277"/>
      <c r="AG580" s="277"/>
      <c r="AH580" s="277"/>
      <c r="AI580" s="277"/>
      <c r="AJ580" s="277"/>
      <c r="AK580" s="277"/>
      <c r="AL580" s="277"/>
      <c r="AM580" s="277"/>
      <c r="AN580" s="277"/>
      <c r="AO580" s="277"/>
      <c r="AP580" s="514"/>
      <c r="AQ580" s="277"/>
      <c r="AR580" s="514"/>
      <c r="AS580" s="515"/>
    </row>
    <row r="581" spans="3:45" s="516" customFormat="1" x14ac:dyDescent="0.25">
      <c r="C581" s="478"/>
      <c r="D581" s="478"/>
      <c r="E581" s="473"/>
      <c r="F581" s="473"/>
      <c r="G581" s="509"/>
      <c r="H581" s="478"/>
      <c r="I581" s="478"/>
      <c r="J581" s="478"/>
      <c r="K581" s="478"/>
      <c r="L581" s="478"/>
      <c r="M581" s="510"/>
      <c r="N581" s="510"/>
      <c r="O581" s="510"/>
      <c r="P581" s="511"/>
      <c r="Q581" s="510"/>
      <c r="R581" s="511"/>
      <c r="S581" s="478"/>
      <c r="T581" s="478"/>
      <c r="U581" s="478"/>
      <c r="V581" s="511"/>
      <c r="W581" s="512"/>
      <c r="X581" s="512"/>
      <c r="Y581" s="513"/>
      <c r="Z581" s="512"/>
      <c r="AA581" s="277"/>
      <c r="AB581" s="277"/>
      <c r="AC581" s="277"/>
      <c r="AD581" s="277"/>
      <c r="AE581" s="277"/>
      <c r="AF581" s="277"/>
      <c r="AG581" s="277"/>
      <c r="AH581" s="277"/>
      <c r="AI581" s="277"/>
      <c r="AJ581" s="277"/>
      <c r="AK581" s="277"/>
      <c r="AL581" s="277"/>
      <c r="AM581" s="277"/>
      <c r="AN581" s="277"/>
      <c r="AO581" s="277"/>
      <c r="AP581" s="514"/>
      <c r="AQ581" s="277"/>
      <c r="AR581" s="514"/>
      <c r="AS581" s="515"/>
    </row>
    <row r="582" spans="3:45" s="516" customFormat="1" x14ac:dyDescent="0.25">
      <c r="C582" s="478"/>
      <c r="D582" s="478"/>
      <c r="E582" s="473"/>
      <c r="F582" s="473"/>
      <c r="G582" s="509"/>
      <c r="H582" s="478"/>
      <c r="I582" s="478"/>
      <c r="J582" s="478"/>
      <c r="K582" s="478"/>
      <c r="L582" s="478"/>
      <c r="M582" s="510"/>
      <c r="N582" s="510"/>
      <c r="O582" s="510"/>
      <c r="P582" s="511"/>
      <c r="Q582" s="510"/>
      <c r="R582" s="511"/>
      <c r="S582" s="478"/>
      <c r="T582" s="478"/>
      <c r="U582" s="478"/>
      <c r="V582" s="511"/>
      <c r="W582" s="512"/>
      <c r="X582" s="512"/>
      <c r="Y582" s="513"/>
      <c r="Z582" s="512"/>
      <c r="AA582" s="277"/>
      <c r="AB582" s="277"/>
      <c r="AC582" s="277"/>
      <c r="AD582" s="277"/>
      <c r="AE582" s="277"/>
      <c r="AF582" s="277"/>
      <c r="AG582" s="277"/>
      <c r="AH582" s="277"/>
      <c r="AI582" s="277"/>
      <c r="AJ582" s="277"/>
      <c r="AK582" s="277"/>
      <c r="AL582" s="277"/>
      <c r="AM582" s="277"/>
      <c r="AN582" s="277"/>
      <c r="AO582" s="277"/>
      <c r="AP582" s="514"/>
      <c r="AQ582" s="277"/>
      <c r="AR582" s="514"/>
      <c r="AS582" s="515"/>
    </row>
    <row r="583" spans="3:45" s="516" customFormat="1" x14ac:dyDescent="0.25">
      <c r="C583" s="478"/>
      <c r="D583" s="478"/>
      <c r="E583" s="473"/>
      <c r="F583" s="473"/>
      <c r="G583" s="509"/>
      <c r="H583" s="478"/>
      <c r="I583" s="478"/>
      <c r="J583" s="478"/>
      <c r="K583" s="478"/>
      <c r="L583" s="478"/>
      <c r="M583" s="510"/>
      <c r="N583" s="510"/>
      <c r="O583" s="510"/>
      <c r="P583" s="511"/>
      <c r="Q583" s="510"/>
      <c r="R583" s="511"/>
      <c r="S583" s="478"/>
      <c r="T583" s="478"/>
      <c r="U583" s="478"/>
      <c r="V583" s="511"/>
      <c r="W583" s="512"/>
      <c r="X583" s="512"/>
      <c r="Y583" s="513"/>
      <c r="Z583" s="512"/>
      <c r="AA583" s="277"/>
      <c r="AB583" s="277"/>
      <c r="AC583" s="277"/>
      <c r="AD583" s="277"/>
      <c r="AE583" s="277"/>
      <c r="AF583" s="277"/>
      <c r="AG583" s="277"/>
      <c r="AH583" s="277"/>
      <c r="AI583" s="277"/>
      <c r="AJ583" s="277"/>
      <c r="AK583" s="277"/>
      <c r="AL583" s="277"/>
      <c r="AM583" s="277"/>
      <c r="AN583" s="277"/>
      <c r="AO583" s="277"/>
      <c r="AP583" s="514"/>
      <c r="AQ583" s="277"/>
      <c r="AR583" s="514"/>
      <c r="AS583" s="515"/>
    </row>
    <row r="584" spans="3:45" s="516" customFormat="1" x14ac:dyDescent="0.25">
      <c r="C584" s="478"/>
      <c r="D584" s="478"/>
      <c r="E584" s="473"/>
      <c r="F584" s="473"/>
      <c r="G584" s="509"/>
      <c r="H584" s="478"/>
      <c r="I584" s="478"/>
      <c r="J584" s="478"/>
      <c r="K584" s="478"/>
      <c r="L584" s="478"/>
      <c r="M584" s="510"/>
      <c r="N584" s="510"/>
      <c r="O584" s="510"/>
      <c r="P584" s="511"/>
      <c r="Q584" s="510"/>
      <c r="R584" s="511"/>
      <c r="S584" s="478"/>
      <c r="T584" s="478"/>
      <c r="U584" s="478"/>
      <c r="V584" s="511"/>
      <c r="W584" s="512"/>
      <c r="X584" s="512"/>
      <c r="Y584" s="513"/>
      <c r="Z584" s="512"/>
      <c r="AA584" s="277"/>
      <c r="AB584" s="277"/>
      <c r="AC584" s="277"/>
      <c r="AD584" s="277"/>
      <c r="AE584" s="277"/>
      <c r="AF584" s="277"/>
      <c r="AG584" s="277"/>
      <c r="AH584" s="277"/>
      <c r="AI584" s="277"/>
      <c r="AJ584" s="277"/>
      <c r="AK584" s="277"/>
      <c r="AL584" s="277"/>
      <c r="AM584" s="277"/>
      <c r="AN584" s="277"/>
      <c r="AO584" s="277"/>
      <c r="AP584" s="514"/>
      <c r="AQ584" s="277"/>
      <c r="AR584" s="514"/>
      <c r="AS584" s="515"/>
    </row>
    <row r="585" spans="3:45" s="516" customFormat="1" x14ac:dyDescent="0.25">
      <c r="C585" s="478"/>
      <c r="D585" s="478"/>
      <c r="E585" s="473"/>
      <c r="F585" s="473"/>
      <c r="G585" s="509"/>
      <c r="H585" s="478"/>
      <c r="I585" s="478"/>
      <c r="J585" s="478"/>
      <c r="K585" s="478"/>
      <c r="L585" s="478"/>
      <c r="M585" s="510"/>
      <c r="N585" s="510"/>
      <c r="O585" s="510"/>
      <c r="P585" s="511"/>
      <c r="Q585" s="510"/>
      <c r="R585" s="511"/>
      <c r="S585" s="478"/>
      <c r="T585" s="478"/>
      <c r="U585" s="478"/>
      <c r="V585" s="511"/>
      <c r="W585" s="512"/>
      <c r="X585" s="512"/>
      <c r="Y585" s="513"/>
      <c r="Z585" s="512"/>
      <c r="AA585" s="277"/>
      <c r="AB585" s="277"/>
      <c r="AC585" s="277"/>
      <c r="AD585" s="277"/>
      <c r="AE585" s="277"/>
      <c r="AF585" s="277"/>
      <c r="AG585" s="277"/>
      <c r="AH585" s="277"/>
      <c r="AI585" s="277"/>
      <c r="AJ585" s="277"/>
      <c r="AK585" s="277"/>
      <c r="AL585" s="277"/>
      <c r="AM585" s="277"/>
      <c r="AN585" s="277"/>
      <c r="AO585" s="277"/>
      <c r="AP585" s="514"/>
      <c r="AQ585" s="277"/>
      <c r="AR585" s="514"/>
      <c r="AS585" s="515"/>
    </row>
    <row r="586" spans="3:45" s="516" customFormat="1" x14ac:dyDescent="0.25">
      <c r="C586" s="478"/>
      <c r="D586" s="478"/>
      <c r="E586" s="473"/>
      <c r="F586" s="473"/>
      <c r="G586" s="509"/>
      <c r="H586" s="478"/>
      <c r="I586" s="478"/>
      <c r="J586" s="478"/>
      <c r="K586" s="478"/>
      <c r="L586" s="478"/>
      <c r="M586" s="510"/>
      <c r="N586" s="510"/>
      <c r="O586" s="510"/>
      <c r="P586" s="511"/>
      <c r="Q586" s="510"/>
      <c r="R586" s="511"/>
      <c r="S586" s="478"/>
      <c r="T586" s="478"/>
      <c r="U586" s="478"/>
      <c r="V586" s="511"/>
      <c r="W586" s="512"/>
      <c r="X586" s="512"/>
      <c r="Y586" s="513"/>
      <c r="Z586" s="512"/>
      <c r="AA586" s="277"/>
      <c r="AB586" s="277"/>
      <c r="AC586" s="277"/>
      <c r="AD586" s="277"/>
      <c r="AE586" s="277"/>
      <c r="AF586" s="277"/>
      <c r="AG586" s="277"/>
      <c r="AH586" s="277"/>
      <c r="AI586" s="277"/>
      <c r="AJ586" s="277"/>
      <c r="AK586" s="277"/>
      <c r="AL586" s="277"/>
      <c r="AM586" s="277"/>
      <c r="AN586" s="277"/>
      <c r="AO586" s="277"/>
      <c r="AP586" s="514"/>
      <c r="AQ586" s="277"/>
      <c r="AR586" s="514"/>
      <c r="AS586" s="515"/>
    </row>
    <row r="587" spans="3:45" s="516" customFormat="1" x14ac:dyDescent="0.25">
      <c r="C587" s="478"/>
      <c r="D587" s="478"/>
      <c r="E587" s="473"/>
      <c r="F587" s="473"/>
      <c r="G587" s="509"/>
      <c r="H587" s="478"/>
      <c r="I587" s="478"/>
      <c r="J587" s="478"/>
      <c r="K587" s="478"/>
      <c r="L587" s="478"/>
      <c r="M587" s="510"/>
      <c r="N587" s="510"/>
      <c r="O587" s="510"/>
      <c r="P587" s="511"/>
      <c r="Q587" s="510"/>
      <c r="R587" s="511"/>
      <c r="S587" s="478"/>
      <c r="T587" s="478"/>
      <c r="U587" s="478"/>
      <c r="V587" s="511"/>
      <c r="W587" s="512"/>
      <c r="X587" s="512"/>
      <c r="Y587" s="513"/>
      <c r="Z587" s="512"/>
      <c r="AA587" s="277"/>
      <c r="AB587" s="277"/>
      <c r="AC587" s="277"/>
      <c r="AD587" s="277"/>
      <c r="AE587" s="277"/>
      <c r="AF587" s="277"/>
      <c r="AG587" s="277"/>
      <c r="AH587" s="277"/>
      <c r="AI587" s="277"/>
      <c r="AJ587" s="277"/>
      <c r="AK587" s="277"/>
      <c r="AL587" s="277"/>
      <c r="AM587" s="277"/>
      <c r="AN587" s="277"/>
      <c r="AO587" s="277"/>
      <c r="AP587" s="514"/>
      <c r="AQ587" s="277"/>
      <c r="AR587" s="514"/>
      <c r="AS587" s="515"/>
    </row>
    <row r="588" spans="3:45" s="516" customFormat="1" x14ac:dyDescent="0.25">
      <c r="C588" s="478"/>
      <c r="D588" s="478"/>
      <c r="E588" s="473"/>
      <c r="F588" s="473"/>
      <c r="G588" s="509"/>
      <c r="H588" s="478"/>
      <c r="I588" s="478"/>
      <c r="J588" s="478"/>
      <c r="K588" s="478"/>
      <c r="L588" s="478"/>
      <c r="M588" s="510"/>
      <c r="N588" s="510"/>
      <c r="O588" s="510"/>
      <c r="P588" s="511"/>
      <c r="Q588" s="510"/>
      <c r="R588" s="511"/>
      <c r="S588" s="478"/>
      <c r="T588" s="478"/>
      <c r="U588" s="478"/>
      <c r="V588" s="511"/>
      <c r="W588" s="512"/>
      <c r="X588" s="512"/>
      <c r="Y588" s="513"/>
      <c r="Z588" s="512"/>
      <c r="AA588" s="277"/>
      <c r="AB588" s="277"/>
      <c r="AC588" s="277"/>
      <c r="AD588" s="277"/>
      <c r="AE588" s="277"/>
      <c r="AF588" s="277"/>
      <c r="AG588" s="277"/>
      <c r="AH588" s="277"/>
      <c r="AI588" s="277"/>
      <c r="AJ588" s="277"/>
      <c r="AK588" s="277"/>
      <c r="AL588" s="277"/>
      <c r="AM588" s="277"/>
      <c r="AN588" s="277"/>
      <c r="AO588" s="277"/>
      <c r="AP588" s="514"/>
      <c r="AQ588" s="277"/>
      <c r="AR588" s="514"/>
      <c r="AS588" s="515"/>
    </row>
    <row r="589" spans="3:45" s="516" customFormat="1" x14ac:dyDescent="0.25">
      <c r="C589" s="478"/>
      <c r="D589" s="478"/>
      <c r="E589" s="473"/>
      <c r="F589" s="473"/>
      <c r="G589" s="509"/>
      <c r="H589" s="478"/>
      <c r="I589" s="478"/>
      <c r="J589" s="478"/>
      <c r="K589" s="478"/>
      <c r="L589" s="478"/>
      <c r="M589" s="510"/>
      <c r="N589" s="510"/>
      <c r="O589" s="510"/>
      <c r="P589" s="511"/>
      <c r="Q589" s="510"/>
      <c r="R589" s="511"/>
      <c r="S589" s="478"/>
      <c r="T589" s="478"/>
      <c r="U589" s="478"/>
      <c r="V589" s="511"/>
      <c r="W589" s="512"/>
      <c r="X589" s="512"/>
      <c r="Y589" s="513"/>
      <c r="Z589" s="512"/>
      <c r="AA589" s="277"/>
      <c r="AB589" s="277"/>
      <c r="AC589" s="277"/>
      <c r="AD589" s="277"/>
      <c r="AE589" s="277"/>
      <c r="AF589" s="277"/>
      <c r="AG589" s="277"/>
      <c r="AH589" s="277"/>
      <c r="AI589" s="277"/>
      <c r="AJ589" s="277"/>
      <c r="AK589" s="277"/>
      <c r="AL589" s="277"/>
      <c r="AM589" s="277"/>
      <c r="AN589" s="277"/>
      <c r="AO589" s="277"/>
      <c r="AP589" s="514"/>
      <c r="AQ589" s="277"/>
      <c r="AR589" s="514"/>
      <c r="AS589" s="515"/>
    </row>
    <row r="590" spans="3:45" s="516" customFormat="1" x14ac:dyDescent="0.25">
      <c r="C590" s="478"/>
      <c r="D590" s="478"/>
      <c r="E590" s="473"/>
      <c r="F590" s="473"/>
      <c r="G590" s="509"/>
      <c r="H590" s="478"/>
      <c r="I590" s="478"/>
      <c r="J590" s="478"/>
      <c r="K590" s="478"/>
      <c r="L590" s="478"/>
      <c r="M590" s="510"/>
      <c r="N590" s="510"/>
      <c r="O590" s="510"/>
      <c r="P590" s="511"/>
      <c r="Q590" s="510"/>
      <c r="R590" s="511"/>
      <c r="S590" s="478"/>
      <c r="T590" s="478"/>
      <c r="U590" s="478"/>
      <c r="V590" s="511"/>
      <c r="W590" s="512"/>
      <c r="X590" s="512"/>
      <c r="Y590" s="513"/>
      <c r="Z590" s="512"/>
      <c r="AA590" s="277"/>
      <c r="AB590" s="277"/>
      <c r="AC590" s="277"/>
      <c r="AD590" s="277"/>
      <c r="AE590" s="277"/>
      <c r="AF590" s="277"/>
      <c r="AG590" s="277"/>
      <c r="AH590" s="277"/>
      <c r="AI590" s="277"/>
      <c r="AJ590" s="277"/>
      <c r="AK590" s="277"/>
      <c r="AL590" s="277"/>
      <c r="AM590" s="277"/>
      <c r="AN590" s="277"/>
      <c r="AO590" s="277"/>
      <c r="AP590" s="514"/>
      <c r="AQ590" s="277"/>
      <c r="AR590" s="514"/>
      <c r="AS590" s="515"/>
    </row>
    <row r="591" spans="3:45" s="516" customFormat="1" x14ac:dyDescent="0.25">
      <c r="C591" s="478"/>
      <c r="D591" s="478"/>
      <c r="E591" s="473"/>
      <c r="F591" s="473"/>
      <c r="G591" s="509"/>
      <c r="H591" s="478"/>
      <c r="I591" s="478"/>
      <c r="J591" s="478"/>
      <c r="K591" s="478"/>
      <c r="L591" s="478"/>
      <c r="M591" s="510"/>
      <c r="N591" s="510"/>
      <c r="O591" s="510"/>
      <c r="P591" s="511"/>
      <c r="Q591" s="510"/>
      <c r="R591" s="511"/>
      <c r="S591" s="478"/>
      <c r="T591" s="478"/>
      <c r="U591" s="478"/>
      <c r="V591" s="511"/>
      <c r="W591" s="512"/>
      <c r="X591" s="512"/>
      <c r="Y591" s="513"/>
      <c r="Z591" s="512"/>
      <c r="AA591" s="277"/>
      <c r="AB591" s="277"/>
      <c r="AC591" s="277"/>
      <c r="AD591" s="277"/>
      <c r="AE591" s="277"/>
      <c r="AF591" s="277"/>
      <c r="AG591" s="277"/>
      <c r="AH591" s="277"/>
      <c r="AI591" s="277"/>
      <c r="AJ591" s="277"/>
      <c r="AK591" s="277"/>
      <c r="AL591" s="277"/>
      <c r="AM591" s="277"/>
      <c r="AN591" s="277"/>
      <c r="AO591" s="277"/>
      <c r="AP591" s="514"/>
      <c r="AQ591" s="277"/>
      <c r="AR591" s="514"/>
      <c r="AS591" s="515"/>
    </row>
    <row r="592" spans="3:45" s="516" customFormat="1" x14ac:dyDescent="0.25">
      <c r="C592" s="478"/>
      <c r="D592" s="478"/>
      <c r="E592" s="473"/>
      <c r="F592" s="473"/>
      <c r="G592" s="509"/>
      <c r="H592" s="478"/>
      <c r="I592" s="478"/>
      <c r="J592" s="478"/>
      <c r="K592" s="478"/>
      <c r="L592" s="478"/>
      <c r="M592" s="510"/>
      <c r="N592" s="510"/>
      <c r="O592" s="510"/>
      <c r="P592" s="511"/>
      <c r="Q592" s="510"/>
      <c r="R592" s="511"/>
      <c r="S592" s="478"/>
      <c r="T592" s="478"/>
      <c r="U592" s="478"/>
      <c r="V592" s="511"/>
      <c r="W592" s="512"/>
      <c r="X592" s="512"/>
      <c r="Y592" s="513"/>
      <c r="Z592" s="512"/>
      <c r="AA592" s="277"/>
      <c r="AB592" s="277"/>
      <c r="AC592" s="277"/>
      <c r="AD592" s="277"/>
      <c r="AE592" s="277"/>
      <c r="AF592" s="277"/>
      <c r="AG592" s="277"/>
      <c r="AH592" s="277"/>
      <c r="AI592" s="277"/>
      <c r="AJ592" s="277"/>
      <c r="AK592" s="277"/>
      <c r="AL592" s="277"/>
      <c r="AM592" s="277"/>
      <c r="AN592" s="277"/>
      <c r="AO592" s="277"/>
      <c r="AP592" s="514"/>
      <c r="AQ592" s="277"/>
      <c r="AR592" s="514"/>
      <c r="AS592" s="515"/>
    </row>
    <row r="593" spans="3:45" s="516" customFormat="1" x14ac:dyDescent="0.25">
      <c r="C593" s="478"/>
      <c r="D593" s="478"/>
      <c r="E593" s="473"/>
      <c r="F593" s="473"/>
      <c r="G593" s="509"/>
      <c r="H593" s="478"/>
      <c r="I593" s="478"/>
      <c r="J593" s="478"/>
      <c r="K593" s="478"/>
      <c r="L593" s="478"/>
      <c r="M593" s="510"/>
      <c r="N593" s="510"/>
      <c r="O593" s="510"/>
      <c r="P593" s="511"/>
      <c r="Q593" s="510"/>
      <c r="R593" s="511"/>
      <c r="S593" s="478"/>
      <c r="T593" s="478"/>
      <c r="U593" s="478"/>
      <c r="V593" s="511"/>
      <c r="W593" s="512"/>
      <c r="X593" s="512"/>
      <c r="Y593" s="513"/>
      <c r="Z593" s="512"/>
      <c r="AA593" s="277"/>
      <c r="AB593" s="277"/>
      <c r="AC593" s="277"/>
      <c r="AD593" s="277"/>
      <c r="AE593" s="277"/>
      <c r="AF593" s="277"/>
      <c r="AG593" s="277"/>
      <c r="AH593" s="277"/>
      <c r="AI593" s="277"/>
      <c r="AJ593" s="277"/>
      <c r="AK593" s="277"/>
      <c r="AL593" s="277"/>
      <c r="AM593" s="277"/>
      <c r="AN593" s="277"/>
      <c r="AO593" s="277"/>
      <c r="AP593" s="514"/>
      <c r="AQ593" s="277"/>
      <c r="AR593" s="514"/>
      <c r="AS593" s="515"/>
    </row>
    <row r="594" spans="3:45" s="516" customFormat="1" x14ac:dyDescent="0.25">
      <c r="C594" s="478"/>
      <c r="D594" s="478"/>
      <c r="E594" s="473"/>
      <c r="F594" s="473"/>
      <c r="G594" s="509"/>
      <c r="H594" s="478"/>
      <c r="I594" s="478"/>
      <c r="J594" s="478"/>
      <c r="K594" s="478"/>
      <c r="L594" s="478"/>
      <c r="M594" s="510"/>
      <c r="N594" s="510"/>
      <c r="O594" s="510"/>
      <c r="P594" s="511"/>
      <c r="Q594" s="510"/>
      <c r="R594" s="511"/>
      <c r="S594" s="478"/>
      <c r="T594" s="478"/>
      <c r="U594" s="478"/>
      <c r="V594" s="511"/>
      <c r="W594" s="512"/>
      <c r="X594" s="512"/>
      <c r="Y594" s="513"/>
      <c r="Z594" s="512"/>
      <c r="AA594" s="277"/>
      <c r="AB594" s="277"/>
      <c r="AC594" s="277"/>
      <c r="AD594" s="277"/>
      <c r="AE594" s="277"/>
      <c r="AF594" s="277"/>
      <c r="AG594" s="277"/>
      <c r="AH594" s="277"/>
      <c r="AI594" s="277"/>
      <c r="AJ594" s="277"/>
      <c r="AK594" s="277"/>
      <c r="AL594" s="277"/>
      <c r="AM594" s="277"/>
      <c r="AN594" s="277"/>
      <c r="AO594" s="277"/>
      <c r="AP594" s="514"/>
      <c r="AQ594" s="277"/>
      <c r="AR594" s="514"/>
      <c r="AS594" s="515"/>
    </row>
    <row r="595" spans="3:45" s="516" customFormat="1" x14ac:dyDescent="0.25">
      <c r="C595" s="478"/>
      <c r="D595" s="478"/>
      <c r="E595" s="473"/>
      <c r="F595" s="473"/>
      <c r="G595" s="509"/>
      <c r="H595" s="478"/>
      <c r="I595" s="478"/>
      <c r="J595" s="478"/>
      <c r="K595" s="478"/>
      <c r="L595" s="478"/>
      <c r="M595" s="510"/>
      <c r="N595" s="510"/>
      <c r="O595" s="510"/>
      <c r="P595" s="511"/>
      <c r="Q595" s="510"/>
      <c r="R595" s="511"/>
      <c r="S595" s="478"/>
      <c r="T595" s="478"/>
      <c r="U595" s="478"/>
      <c r="V595" s="511"/>
      <c r="W595" s="512"/>
      <c r="X595" s="512"/>
      <c r="Y595" s="513"/>
      <c r="Z595" s="512"/>
      <c r="AA595" s="277"/>
      <c r="AB595" s="277"/>
      <c r="AC595" s="277"/>
      <c r="AD595" s="277"/>
      <c r="AE595" s="277"/>
      <c r="AF595" s="277"/>
      <c r="AG595" s="277"/>
      <c r="AH595" s="277"/>
      <c r="AI595" s="277"/>
      <c r="AJ595" s="277"/>
      <c r="AK595" s="277"/>
      <c r="AL595" s="277"/>
      <c r="AM595" s="277"/>
      <c r="AN595" s="277"/>
      <c r="AO595" s="277"/>
      <c r="AP595" s="514"/>
      <c r="AQ595" s="277"/>
      <c r="AR595" s="514"/>
      <c r="AS595" s="515"/>
    </row>
    <row r="596" spans="3:45" s="516" customFormat="1" x14ac:dyDescent="0.25">
      <c r="C596" s="478"/>
      <c r="D596" s="478"/>
      <c r="E596" s="473"/>
      <c r="F596" s="473"/>
      <c r="G596" s="509"/>
      <c r="H596" s="478"/>
      <c r="I596" s="478"/>
      <c r="J596" s="478"/>
      <c r="K596" s="478"/>
      <c r="L596" s="478"/>
      <c r="M596" s="510"/>
      <c r="N596" s="510"/>
      <c r="O596" s="510"/>
      <c r="P596" s="511"/>
      <c r="Q596" s="510"/>
      <c r="R596" s="511"/>
      <c r="S596" s="478"/>
      <c r="T596" s="478"/>
      <c r="U596" s="478"/>
      <c r="V596" s="511"/>
      <c r="W596" s="512"/>
      <c r="X596" s="512"/>
      <c r="Y596" s="513"/>
      <c r="Z596" s="512"/>
      <c r="AA596" s="277"/>
      <c r="AB596" s="277"/>
      <c r="AC596" s="277"/>
      <c r="AD596" s="277"/>
      <c r="AE596" s="277"/>
      <c r="AF596" s="277"/>
      <c r="AG596" s="277"/>
      <c r="AH596" s="277"/>
      <c r="AI596" s="277"/>
      <c r="AJ596" s="277"/>
      <c r="AK596" s="277"/>
      <c r="AL596" s="277"/>
      <c r="AM596" s="277"/>
      <c r="AN596" s="277"/>
      <c r="AO596" s="277"/>
      <c r="AP596" s="514"/>
      <c r="AQ596" s="277"/>
      <c r="AR596" s="514"/>
      <c r="AS596" s="515"/>
    </row>
    <row r="597" spans="3:45" s="516" customFormat="1" x14ac:dyDescent="0.25">
      <c r="C597" s="478"/>
      <c r="D597" s="478"/>
      <c r="E597" s="473"/>
      <c r="F597" s="473"/>
      <c r="G597" s="509"/>
      <c r="H597" s="478"/>
      <c r="I597" s="478"/>
      <c r="J597" s="478"/>
      <c r="K597" s="478"/>
      <c r="L597" s="478"/>
      <c r="M597" s="510"/>
      <c r="N597" s="510"/>
      <c r="O597" s="510"/>
      <c r="P597" s="511"/>
      <c r="Q597" s="510"/>
      <c r="R597" s="511"/>
      <c r="S597" s="478"/>
      <c r="T597" s="478"/>
      <c r="U597" s="478"/>
      <c r="V597" s="511"/>
      <c r="W597" s="512"/>
      <c r="X597" s="512"/>
      <c r="Y597" s="513"/>
      <c r="Z597" s="512"/>
      <c r="AA597" s="277"/>
      <c r="AB597" s="277"/>
      <c r="AC597" s="277"/>
      <c r="AD597" s="277"/>
      <c r="AE597" s="277"/>
      <c r="AF597" s="277"/>
      <c r="AG597" s="277"/>
      <c r="AH597" s="277"/>
      <c r="AI597" s="277"/>
      <c r="AJ597" s="277"/>
      <c r="AK597" s="277"/>
      <c r="AL597" s="277"/>
      <c r="AM597" s="277"/>
      <c r="AN597" s="277"/>
      <c r="AO597" s="277"/>
      <c r="AP597" s="514"/>
      <c r="AQ597" s="277"/>
      <c r="AR597" s="514"/>
      <c r="AS597" s="515"/>
    </row>
    <row r="598" spans="3:45" s="516" customFormat="1" x14ac:dyDescent="0.25">
      <c r="C598" s="478"/>
      <c r="D598" s="478"/>
      <c r="E598" s="473"/>
      <c r="F598" s="473"/>
      <c r="G598" s="509"/>
      <c r="H598" s="478"/>
      <c r="I598" s="478"/>
      <c r="J598" s="478"/>
      <c r="K598" s="478"/>
      <c r="L598" s="478"/>
      <c r="M598" s="510"/>
      <c r="N598" s="510"/>
      <c r="O598" s="510"/>
      <c r="P598" s="511"/>
      <c r="Q598" s="510"/>
      <c r="R598" s="511"/>
      <c r="S598" s="478"/>
      <c r="T598" s="478"/>
      <c r="U598" s="478"/>
      <c r="V598" s="511"/>
      <c r="W598" s="512"/>
      <c r="X598" s="512"/>
      <c r="Y598" s="513"/>
      <c r="Z598" s="512"/>
      <c r="AA598" s="277"/>
      <c r="AB598" s="277"/>
      <c r="AC598" s="277"/>
      <c r="AD598" s="277"/>
      <c r="AE598" s="277"/>
      <c r="AF598" s="277"/>
      <c r="AG598" s="277"/>
      <c r="AH598" s="277"/>
      <c r="AI598" s="277"/>
      <c r="AJ598" s="277"/>
      <c r="AK598" s="277"/>
      <c r="AL598" s="277"/>
      <c r="AM598" s="277"/>
      <c r="AN598" s="277"/>
      <c r="AO598" s="277"/>
      <c r="AP598" s="514"/>
      <c r="AQ598" s="277"/>
      <c r="AR598" s="514"/>
      <c r="AS598" s="515"/>
    </row>
    <row r="599" spans="3:45" s="516" customFormat="1" x14ac:dyDescent="0.25">
      <c r="C599" s="478"/>
      <c r="D599" s="478"/>
      <c r="E599" s="473"/>
      <c r="F599" s="473"/>
      <c r="G599" s="509"/>
      <c r="H599" s="478"/>
      <c r="I599" s="478"/>
      <c r="J599" s="478"/>
      <c r="K599" s="478"/>
      <c r="L599" s="478"/>
      <c r="M599" s="510"/>
      <c r="N599" s="510"/>
      <c r="O599" s="510"/>
      <c r="P599" s="511"/>
      <c r="Q599" s="510"/>
      <c r="R599" s="511"/>
      <c r="S599" s="478"/>
      <c r="T599" s="478"/>
      <c r="U599" s="478"/>
      <c r="V599" s="511"/>
      <c r="W599" s="512"/>
      <c r="X599" s="512"/>
      <c r="Y599" s="513"/>
      <c r="Z599" s="512"/>
      <c r="AA599" s="277"/>
      <c r="AB599" s="277"/>
      <c r="AC599" s="277"/>
      <c r="AD599" s="277"/>
      <c r="AE599" s="277"/>
      <c r="AF599" s="277"/>
      <c r="AG599" s="277"/>
      <c r="AH599" s="277"/>
      <c r="AI599" s="277"/>
      <c r="AJ599" s="277"/>
      <c r="AK599" s="277"/>
      <c r="AL599" s="277"/>
      <c r="AM599" s="277"/>
      <c r="AN599" s="277"/>
      <c r="AO599" s="277"/>
      <c r="AP599" s="514"/>
      <c r="AQ599" s="277"/>
      <c r="AR599" s="514"/>
      <c r="AS599" s="515"/>
    </row>
    <row r="600" spans="3:45" s="516" customFormat="1" x14ac:dyDescent="0.25">
      <c r="C600" s="478"/>
      <c r="D600" s="478"/>
      <c r="E600" s="473"/>
      <c r="F600" s="473"/>
      <c r="G600" s="509"/>
      <c r="H600" s="478"/>
      <c r="I600" s="478"/>
      <c r="J600" s="478"/>
      <c r="K600" s="478"/>
      <c r="L600" s="478"/>
      <c r="M600" s="510"/>
      <c r="N600" s="510"/>
      <c r="O600" s="510"/>
      <c r="P600" s="511"/>
      <c r="Q600" s="510"/>
      <c r="R600" s="511"/>
      <c r="S600" s="478"/>
      <c r="T600" s="478"/>
      <c r="U600" s="478"/>
      <c r="V600" s="511"/>
      <c r="W600" s="512"/>
      <c r="X600" s="512"/>
      <c r="Y600" s="513"/>
      <c r="Z600" s="512"/>
      <c r="AA600" s="277"/>
      <c r="AB600" s="277"/>
      <c r="AC600" s="277"/>
      <c r="AD600" s="277"/>
      <c r="AE600" s="277"/>
      <c r="AF600" s="277"/>
      <c r="AG600" s="277"/>
      <c r="AH600" s="277"/>
      <c r="AI600" s="277"/>
      <c r="AJ600" s="277"/>
      <c r="AK600" s="277"/>
      <c r="AL600" s="277"/>
      <c r="AM600" s="277"/>
      <c r="AN600" s="277"/>
      <c r="AO600" s="277"/>
      <c r="AP600" s="514"/>
      <c r="AQ600" s="277"/>
      <c r="AR600" s="514"/>
      <c r="AS600" s="515"/>
    </row>
    <row r="601" spans="3:45" s="516" customFormat="1" x14ac:dyDescent="0.25">
      <c r="C601" s="478"/>
      <c r="D601" s="478"/>
      <c r="E601" s="473"/>
      <c r="F601" s="473"/>
      <c r="G601" s="509"/>
      <c r="H601" s="478"/>
      <c r="I601" s="478"/>
      <c r="J601" s="478"/>
      <c r="K601" s="478"/>
      <c r="L601" s="478"/>
      <c r="M601" s="510"/>
      <c r="N601" s="510"/>
      <c r="O601" s="510"/>
      <c r="P601" s="511"/>
      <c r="Q601" s="510"/>
      <c r="R601" s="511"/>
      <c r="S601" s="478"/>
      <c r="T601" s="478"/>
      <c r="U601" s="478"/>
      <c r="V601" s="511"/>
      <c r="W601" s="512"/>
      <c r="X601" s="512"/>
      <c r="Y601" s="513"/>
      <c r="Z601" s="512"/>
      <c r="AA601" s="277"/>
      <c r="AB601" s="277"/>
      <c r="AC601" s="277"/>
      <c r="AD601" s="277"/>
      <c r="AE601" s="277"/>
      <c r="AF601" s="277"/>
      <c r="AG601" s="277"/>
      <c r="AH601" s="277"/>
      <c r="AI601" s="277"/>
      <c r="AJ601" s="277"/>
      <c r="AK601" s="277"/>
      <c r="AL601" s="277"/>
      <c r="AM601" s="277"/>
      <c r="AN601" s="277"/>
      <c r="AO601" s="277"/>
      <c r="AP601" s="514"/>
      <c r="AQ601" s="277"/>
      <c r="AR601" s="514"/>
      <c r="AS601" s="515"/>
    </row>
    <row r="602" spans="3:45" s="516" customFormat="1" x14ac:dyDescent="0.25">
      <c r="C602" s="478"/>
      <c r="D602" s="478"/>
      <c r="E602" s="473"/>
      <c r="F602" s="473"/>
      <c r="G602" s="509"/>
      <c r="H602" s="478"/>
      <c r="I602" s="478"/>
      <c r="J602" s="478"/>
      <c r="K602" s="478"/>
      <c r="L602" s="478"/>
      <c r="M602" s="510"/>
      <c r="N602" s="510"/>
      <c r="O602" s="510"/>
      <c r="P602" s="511"/>
      <c r="Q602" s="510"/>
      <c r="R602" s="511"/>
      <c r="S602" s="478"/>
      <c r="T602" s="478"/>
      <c r="U602" s="478"/>
      <c r="V602" s="511"/>
      <c r="W602" s="512"/>
      <c r="X602" s="512"/>
      <c r="Y602" s="513"/>
      <c r="Z602" s="512"/>
      <c r="AA602" s="277"/>
      <c r="AB602" s="277"/>
      <c r="AC602" s="277"/>
      <c r="AD602" s="277"/>
      <c r="AE602" s="277"/>
      <c r="AF602" s="277"/>
      <c r="AG602" s="277"/>
      <c r="AH602" s="277"/>
      <c r="AI602" s="277"/>
      <c r="AJ602" s="277"/>
      <c r="AK602" s="277"/>
      <c r="AL602" s="277"/>
      <c r="AM602" s="277"/>
      <c r="AN602" s="277"/>
      <c r="AO602" s="277"/>
      <c r="AP602" s="514"/>
      <c r="AQ602" s="277"/>
      <c r="AR602" s="514"/>
      <c r="AS602" s="515"/>
    </row>
    <row r="603" spans="3:45" s="516" customFormat="1" x14ac:dyDescent="0.25">
      <c r="C603" s="478"/>
      <c r="D603" s="478"/>
      <c r="E603" s="473"/>
      <c r="F603" s="473"/>
      <c r="G603" s="509"/>
      <c r="H603" s="478"/>
      <c r="I603" s="478"/>
      <c r="J603" s="478"/>
      <c r="K603" s="478"/>
      <c r="L603" s="478"/>
      <c r="M603" s="510"/>
      <c r="N603" s="510"/>
      <c r="O603" s="510"/>
      <c r="P603" s="511"/>
      <c r="Q603" s="510"/>
      <c r="R603" s="511"/>
      <c r="S603" s="478"/>
      <c r="T603" s="478"/>
      <c r="U603" s="478"/>
      <c r="V603" s="511"/>
      <c r="W603" s="512"/>
      <c r="X603" s="512"/>
      <c r="Y603" s="513"/>
      <c r="Z603" s="512"/>
      <c r="AA603" s="277"/>
      <c r="AB603" s="277"/>
      <c r="AC603" s="277"/>
      <c r="AD603" s="277"/>
      <c r="AE603" s="277"/>
      <c r="AF603" s="277"/>
      <c r="AG603" s="277"/>
      <c r="AH603" s="277"/>
      <c r="AI603" s="277"/>
      <c r="AJ603" s="277"/>
      <c r="AK603" s="277"/>
      <c r="AL603" s="277"/>
      <c r="AM603" s="277"/>
      <c r="AN603" s="277"/>
      <c r="AO603" s="277"/>
      <c r="AP603" s="514"/>
      <c r="AQ603" s="277"/>
      <c r="AR603" s="514"/>
      <c r="AS603" s="515"/>
    </row>
    <row r="604" spans="3:45" s="516" customFormat="1" x14ac:dyDescent="0.25">
      <c r="C604" s="478"/>
      <c r="D604" s="478"/>
      <c r="E604" s="473"/>
      <c r="F604" s="473"/>
      <c r="G604" s="509"/>
      <c r="H604" s="478"/>
      <c r="I604" s="478"/>
      <c r="J604" s="478"/>
      <c r="K604" s="478"/>
      <c r="L604" s="478"/>
      <c r="M604" s="510"/>
      <c r="N604" s="510"/>
      <c r="O604" s="510"/>
      <c r="P604" s="511"/>
      <c r="Q604" s="510"/>
      <c r="R604" s="511"/>
      <c r="S604" s="478"/>
      <c r="T604" s="478"/>
      <c r="U604" s="478"/>
      <c r="V604" s="511"/>
      <c r="W604" s="512"/>
      <c r="X604" s="512"/>
      <c r="Y604" s="513"/>
      <c r="Z604" s="512"/>
      <c r="AA604" s="277"/>
      <c r="AB604" s="277"/>
      <c r="AC604" s="277"/>
      <c r="AD604" s="277"/>
      <c r="AE604" s="277"/>
      <c r="AF604" s="277"/>
      <c r="AG604" s="277"/>
      <c r="AH604" s="277"/>
      <c r="AI604" s="277"/>
      <c r="AJ604" s="277"/>
      <c r="AK604" s="277"/>
      <c r="AL604" s="277"/>
      <c r="AM604" s="277"/>
      <c r="AN604" s="277"/>
      <c r="AO604" s="277"/>
      <c r="AP604" s="514"/>
      <c r="AQ604" s="277"/>
      <c r="AR604" s="514"/>
      <c r="AS604" s="515"/>
    </row>
    <row r="605" spans="3:45" s="516" customFormat="1" x14ac:dyDescent="0.25">
      <c r="C605" s="478"/>
      <c r="D605" s="478"/>
      <c r="E605" s="473"/>
      <c r="F605" s="473"/>
      <c r="G605" s="509"/>
      <c r="H605" s="478"/>
      <c r="I605" s="478"/>
      <c r="J605" s="478"/>
      <c r="K605" s="478"/>
      <c r="L605" s="478"/>
      <c r="M605" s="510"/>
      <c r="N605" s="510"/>
      <c r="O605" s="510"/>
      <c r="P605" s="511"/>
      <c r="Q605" s="510"/>
      <c r="R605" s="511"/>
      <c r="S605" s="478"/>
      <c r="T605" s="478"/>
      <c r="U605" s="478"/>
      <c r="V605" s="511"/>
      <c r="W605" s="512"/>
      <c r="X605" s="512"/>
      <c r="Y605" s="513"/>
      <c r="Z605" s="512"/>
      <c r="AA605" s="277"/>
      <c r="AB605" s="277"/>
      <c r="AC605" s="277"/>
      <c r="AD605" s="277"/>
      <c r="AE605" s="277"/>
      <c r="AF605" s="277"/>
      <c r="AG605" s="277"/>
      <c r="AH605" s="277"/>
      <c r="AI605" s="277"/>
      <c r="AJ605" s="277"/>
      <c r="AK605" s="277"/>
      <c r="AL605" s="277"/>
      <c r="AM605" s="277"/>
      <c r="AN605" s="277"/>
      <c r="AO605" s="277"/>
      <c r="AP605" s="514"/>
      <c r="AQ605" s="277"/>
      <c r="AR605" s="514"/>
      <c r="AS605" s="515"/>
    </row>
    <row r="606" spans="3:45" s="516" customFormat="1" x14ac:dyDescent="0.25">
      <c r="C606" s="478"/>
      <c r="D606" s="478"/>
      <c r="E606" s="473"/>
      <c r="F606" s="473"/>
      <c r="G606" s="509"/>
      <c r="H606" s="478"/>
      <c r="I606" s="478"/>
      <c r="J606" s="478"/>
      <c r="K606" s="478"/>
      <c r="L606" s="478"/>
      <c r="M606" s="510"/>
      <c r="N606" s="510"/>
      <c r="O606" s="510"/>
      <c r="P606" s="511"/>
      <c r="Q606" s="510"/>
      <c r="R606" s="511"/>
      <c r="S606" s="478"/>
      <c r="T606" s="478"/>
      <c r="U606" s="478"/>
      <c r="V606" s="511"/>
      <c r="W606" s="512"/>
      <c r="X606" s="512"/>
      <c r="Y606" s="513"/>
      <c r="Z606" s="512"/>
      <c r="AA606" s="277"/>
      <c r="AB606" s="277"/>
      <c r="AC606" s="277"/>
      <c r="AD606" s="277"/>
      <c r="AE606" s="277"/>
      <c r="AF606" s="277"/>
      <c r="AG606" s="277"/>
      <c r="AH606" s="277"/>
      <c r="AI606" s="277"/>
      <c r="AJ606" s="277"/>
      <c r="AK606" s="277"/>
      <c r="AL606" s="277"/>
      <c r="AM606" s="277"/>
      <c r="AN606" s="277"/>
      <c r="AO606" s="277"/>
      <c r="AP606" s="514"/>
      <c r="AQ606" s="277"/>
      <c r="AR606" s="514"/>
      <c r="AS606" s="515"/>
    </row>
    <row r="607" spans="3:45" s="516" customFormat="1" x14ac:dyDescent="0.25">
      <c r="C607" s="478"/>
      <c r="D607" s="478"/>
      <c r="E607" s="473"/>
      <c r="F607" s="473"/>
      <c r="G607" s="509"/>
      <c r="H607" s="478"/>
      <c r="I607" s="478"/>
      <c r="J607" s="478"/>
      <c r="K607" s="478"/>
      <c r="L607" s="478"/>
      <c r="M607" s="510"/>
      <c r="N607" s="510"/>
      <c r="O607" s="510"/>
      <c r="P607" s="511"/>
      <c r="Q607" s="510"/>
      <c r="R607" s="511"/>
      <c r="S607" s="478"/>
      <c r="T607" s="478"/>
      <c r="U607" s="478"/>
      <c r="V607" s="511"/>
      <c r="W607" s="512"/>
      <c r="X607" s="512"/>
      <c r="Y607" s="513"/>
      <c r="Z607" s="512"/>
      <c r="AA607" s="277"/>
      <c r="AB607" s="277"/>
      <c r="AC607" s="277"/>
      <c r="AD607" s="277"/>
      <c r="AE607" s="277"/>
      <c r="AF607" s="277"/>
      <c r="AG607" s="277"/>
      <c r="AH607" s="277"/>
      <c r="AI607" s="277"/>
      <c r="AJ607" s="277"/>
      <c r="AK607" s="277"/>
      <c r="AL607" s="277"/>
      <c r="AM607" s="277"/>
      <c r="AN607" s="277"/>
      <c r="AO607" s="277"/>
      <c r="AP607" s="514"/>
      <c r="AQ607" s="277"/>
      <c r="AR607" s="514"/>
      <c r="AS607" s="515"/>
    </row>
    <row r="608" spans="3:45" s="516" customFormat="1" x14ac:dyDescent="0.25">
      <c r="C608" s="478"/>
      <c r="D608" s="478"/>
      <c r="E608" s="473"/>
      <c r="F608" s="473"/>
      <c r="G608" s="509"/>
      <c r="H608" s="478"/>
      <c r="I608" s="478"/>
      <c r="J608" s="478"/>
      <c r="K608" s="478"/>
      <c r="L608" s="478"/>
      <c r="M608" s="510"/>
      <c r="N608" s="510"/>
      <c r="O608" s="510"/>
      <c r="P608" s="511"/>
      <c r="Q608" s="510"/>
      <c r="R608" s="511"/>
      <c r="S608" s="478"/>
      <c r="T608" s="478"/>
      <c r="U608" s="478"/>
      <c r="V608" s="511"/>
      <c r="W608" s="512"/>
      <c r="X608" s="512"/>
      <c r="Y608" s="513"/>
      <c r="Z608" s="512"/>
      <c r="AA608" s="277"/>
      <c r="AB608" s="277"/>
      <c r="AC608" s="277"/>
      <c r="AD608" s="277"/>
      <c r="AE608" s="277"/>
      <c r="AF608" s="277"/>
      <c r="AG608" s="277"/>
      <c r="AH608" s="277"/>
      <c r="AI608" s="277"/>
      <c r="AJ608" s="277"/>
      <c r="AK608" s="277"/>
      <c r="AL608" s="277"/>
      <c r="AM608" s="277"/>
      <c r="AN608" s="277"/>
      <c r="AO608" s="277"/>
      <c r="AP608" s="514"/>
      <c r="AQ608" s="277"/>
      <c r="AR608" s="514"/>
      <c r="AS608" s="515"/>
    </row>
    <row r="609" spans="3:45" s="516" customFormat="1" x14ac:dyDescent="0.25">
      <c r="C609" s="478"/>
      <c r="D609" s="478"/>
      <c r="E609" s="473"/>
      <c r="F609" s="473"/>
      <c r="G609" s="509"/>
      <c r="H609" s="478"/>
      <c r="I609" s="478"/>
      <c r="J609" s="478"/>
      <c r="K609" s="478"/>
      <c r="L609" s="478"/>
      <c r="M609" s="510"/>
      <c r="N609" s="510"/>
      <c r="O609" s="510"/>
      <c r="P609" s="511"/>
      <c r="Q609" s="510"/>
      <c r="R609" s="511"/>
      <c r="S609" s="478"/>
      <c r="T609" s="478"/>
      <c r="U609" s="478"/>
      <c r="V609" s="511"/>
      <c r="W609" s="512"/>
      <c r="X609" s="512"/>
      <c r="Y609" s="513"/>
      <c r="Z609" s="512"/>
      <c r="AA609" s="277"/>
      <c r="AB609" s="277"/>
      <c r="AC609" s="277"/>
      <c r="AD609" s="277"/>
      <c r="AE609" s="277"/>
      <c r="AF609" s="277"/>
      <c r="AG609" s="277"/>
      <c r="AH609" s="277"/>
      <c r="AI609" s="277"/>
      <c r="AJ609" s="277"/>
      <c r="AK609" s="277"/>
      <c r="AL609" s="277"/>
      <c r="AM609" s="277"/>
      <c r="AN609" s="277"/>
      <c r="AO609" s="277"/>
      <c r="AP609" s="514"/>
      <c r="AQ609" s="277"/>
      <c r="AR609" s="514"/>
      <c r="AS609" s="515"/>
    </row>
    <row r="610" spans="3:45" s="516" customFormat="1" x14ac:dyDescent="0.25">
      <c r="C610" s="478"/>
      <c r="D610" s="478"/>
      <c r="E610" s="473"/>
      <c r="F610" s="473"/>
      <c r="G610" s="509"/>
      <c r="H610" s="478"/>
      <c r="I610" s="478"/>
      <c r="J610" s="478"/>
      <c r="K610" s="478"/>
      <c r="L610" s="478"/>
      <c r="M610" s="510"/>
      <c r="N610" s="510"/>
      <c r="O610" s="510"/>
      <c r="P610" s="511"/>
      <c r="Q610" s="510"/>
      <c r="R610" s="511"/>
      <c r="S610" s="478"/>
      <c r="T610" s="478"/>
      <c r="U610" s="478"/>
      <c r="V610" s="511"/>
      <c r="W610" s="512"/>
      <c r="X610" s="512"/>
      <c r="Y610" s="513"/>
      <c r="Z610" s="512"/>
      <c r="AA610" s="277"/>
      <c r="AB610" s="277"/>
      <c r="AC610" s="277"/>
      <c r="AD610" s="277"/>
      <c r="AE610" s="277"/>
      <c r="AF610" s="277"/>
      <c r="AG610" s="277"/>
      <c r="AH610" s="277"/>
      <c r="AI610" s="277"/>
      <c r="AJ610" s="277"/>
      <c r="AK610" s="277"/>
      <c r="AL610" s="277"/>
      <c r="AM610" s="277"/>
      <c r="AN610" s="277"/>
      <c r="AO610" s="277"/>
      <c r="AP610" s="514"/>
      <c r="AQ610" s="277"/>
      <c r="AR610" s="514"/>
      <c r="AS610" s="515"/>
    </row>
    <row r="611" spans="3:45" s="516" customFormat="1" x14ac:dyDescent="0.25">
      <c r="C611" s="478"/>
      <c r="D611" s="478"/>
      <c r="E611" s="473"/>
      <c r="F611" s="473"/>
      <c r="G611" s="509"/>
      <c r="H611" s="478"/>
      <c r="I611" s="478"/>
      <c r="J611" s="478"/>
      <c r="K611" s="478"/>
      <c r="L611" s="478"/>
      <c r="M611" s="510"/>
      <c r="N611" s="510"/>
      <c r="O611" s="510"/>
      <c r="P611" s="511"/>
      <c r="Q611" s="510"/>
      <c r="R611" s="511"/>
      <c r="S611" s="478"/>
      <c r="T611" s="478"/>
      <c r="U611" s="478"/>
      <c r="V611" s="511"/>
      <c r="W611" s="512"/>
      <c r="X611" s="512"/>
      <c r="Y611" s="513"/>
      <c r="Z611" s="512"/>
      <c r="AA611" s="277"/>
      <c r="AB611" s="277"/>
      <c r="AC611" s="277"/>
      <c r="AD611" s="277"/>
      <c r="AE611" s="277"/>
      <c r="AF611" s="277"/>
      <c r="AG611" s="277"/>
      <c r="AH611" s="277"/>
      <c r="AI611" s="277"/>
      <c r="AJ611" s="277"/>
      <c r="AK611" s="277"/>
      <c r="AL611" s="277"/>
      <c r="AM611" s="277"/>
      <c r="AN611" s="277"/>
      <c r="AO611" s="277"/>
      <c r="AP611" s="514"/>
      <c r="AQ611" s="277"/>
      <c r="AR611" s="514"/>
      <c r="AS611" s="515"/>
    </row>
    <row r="612" spans="3:45" s="516" customFormat="1" x14ac:dyDescent="0.25">
      <c r="C612" s="478"/>
      <c r="D612" s="478"/>
      <c r="E612" s="473"/>
      <c r="F612" s="473"/>
      <c r="G612" s="509"/>
      <c r="H612" s="478"/>
      <c r="I612" s="478"/>
      <c r="J612" s="478"/>
      <c r="K612" s="478"/>
      <c r="L612" s="478"/>
      <c r="M612" s="510"/>
      <c r="N612" s="510"/>
      <c r="O612" s="510"/>
      <c r="P612" s="511"/>
      <c r="Q612" s="510"/>
      <c r="R612" s="511"/>
      <c r="S612" s="478"/>
      <c r="T612" s="478"/>
      <c r="U612" s="478"/>
      <c r="V612" s="511"/>
      <c r="W612" s="512"/>
      <c r="X612" s="512"/>
      <c r="Y612" s="513"/>
      <c r="Z612" s="512"/>
      <c r="AA612" s="277"/>
      <c r="AB612" s="277"/>
      <c r="AC612" s="277"/>
      <c r="AD612" s="277"/>
      <c r="AE612" s="277"/>
      <c r="AF612" s="277"/>
      <c r="AG612" s="277"/>
      <c r="AH612" s="277"/>
      <c r="AI612" s="277"/>
      <c r="AJ612" s="277"/>
      <c r="AK612" s="277"/>
      <c r="AL612" s="277"/>
      <c r="AM612" s="277"/>
      <c r="AN612" s="277"/>
      <c r="AO612" s="277"/>
      <c r="AP612" s="514"/>
      <c r="AQ612" s="277"/>
      <c r="AR612" s="514"/>
      <c r="AS612" s="515"/>
    </row>
    <row r="613" spans="3:45" s="516" customFormat="1" x14ac:dyDescent="0.25">
      <c r="C613" s="478"/>
      <c r="D613" s="478"/>
      <c r="E613" s="473"/>
      <c r="F613" s="473"/>
      <c r="G613" s="509"/>
      <c r="H613" s="478"/>
      <c r="I613" s="478"/>
      <c r="J613" s="478"/>
      <c r="K613" s="478"/>
      <c r="L613" s="478"/>
      <c r="M613" s="510"/>
      <c r="N613" s="510"/>
      <c r="O613" s="510"/>
      <c r="P613" s="511"/>
      <c r="Q613" s="510"/>
      <c r="R613" s="511"/>
      <c r="S613" s="478"/>
      <c r="T613" s="478"/>
      <c r="U613" s="478"/>
      <c r="V613" s="511"/>
      <c r="W613" s="512"/>
      <c r="X613" s="512"/>
      <c r="Y613" s="513"/>
      <c r="Z613" s="512"/>
      <c r="AA613" s="277"/>
      <c r="AB613" s="277"/>
      <c r="AC613" s="277"/>
      <c r="AD613" s="277"/>
      <c r="AE613" s="277"/>
      <c r="AF613" s="277"/>
      <c r="AG613" s="277"/>
      <c r="AH613" s="277"/>
      <c r="AI613" s="277"/>
      <c r="AJ613" s="277"/>
      <c r="AK613" s="277"/>
      <c r="AL613" s="277"/>
      <c r="AM613" s="277"/>
      <c r="AN613" s="277"/>
      <c r="AO613" s="277"/>
      <c r="AP613" s="514"/>
      <c r="AQ613" s="277"/>
      <c r="AR613" s="514"/>
      <c r="AS613" s="515"/>
    </row>
    <row r="614" spans="3:45" s="516" customFormat="1" x14ac:dyDescent="0.25">
      <c r="C614" s="478"/>
      <c r="D614" s="478"/>
      <c r="E614" s="473"/>
      <c r="F614" s="473"/>
      <c r="G614" s="509"/>
      <c r="H614" s="478"/>
      <c r="I614" s="478"/>
      <c r="J614" s="478"/>
      <c r="K614" s="478"/>
      <c r="L614" s="478"/>
      <c r="M614" s="510"/>
      <c r="N614" s="510"/>
      <c r="O614" s="510"/>
      <c r="P614" s="511"/>
      <c r="Q614" s="510"/>
      <c r="R614" s="511"/>
      <c r="S614" s="478"/>
      <c r="T614" s="478"/>
      <c r="U614" s="478"/>
      <c r="V614" s="511"/>
      <c r="W614" s="512"/>
      <c r="X614" s="512"/>
      <c r="Y614" s="513"/>
      <c r="Z614" s="512"/>
      <c r="AA614" s="277"/>
      <c r="AB614" s="277"/>
      <c r="AC614" s="277"/>
      <c r="AD614" s="277"/>
      <c r="AE614" s="277"/>
      <c r="AF614" s="277"/>
      <c r="AG614" s="277"/>
      <c r="AH614" s="277"/>
      <c r="AI614" s="277"/>
      <c r="AJ614" s="277"/>
      <c r="AK614" s="277"/>
      <c r="AL614" s="277"/>
      <c r="AM614" s="277"/>
      <c r="AN614" s="277"/>
      <c r="AO614" s="277"/>
      <c r="AP614" s="514"/>
      <c r="AQ614" s="277"/>
      <c r="AR614" s="514"/>
      <c r="AS614" s="515"/>
    </row>
    <row r="615" spans="3:45" s="516" customFormat="1" x14ac:dyDescent="0.25">
      <c r="C615" s="478"/>
      <c r="D615" s="478"/>
      <c r="E615" s="473"/>
      <c r="F615" s="473"/>
      <c r="G615" s="509"/>
      <c r="H615" s="478"/>
      <c r="I615" s="478"/>
      <c r="J615" s="478"/>
      <c r="K615" s="478"/>
      <c r="L615" s="478"/>
      <c r="M615" s="510"/>
      <c r="N615" s="510"/>
      <c r="O615" s="510"/>
      <c r="P615" s="511"/>
      <c r="Q615" s="510"/>
      <c r="R615" s="511"/>
      <c r="S615" s="478"/>
      <c r="T615" s="478"/>
      <c r="U615" s="478"/>
      <c r="V615" s="511"/>
      <c r="W615" s="512"/>
      <c r="X615" s="512"/>
      <c r="Y615" s="513"/>
      <c r="Z615" s="512"/>
      <c r="AA615" s="277"/>
      <c r="AB615" s="277"/>
      <c r="AC615" s="277"/>
      <c r="AD615" s="277"/>
      <c r="AE615" s="277"/>
      <c r="AF615" s="277"/>
      <c r="AG615" s="277"/>
      <c r="AH615" s="277"/>
      <c r="AI615" s="277"/>
      <c r="AJ615" s="277"/>
      <c r="AK615" s="277"/>
      <c r="AL615" s="277"/>
      <c r="AM615" s="277"/>
      <c r="AN615" s="277"/>
      <c r="AO615" s="277"/>
      <c r="AP615" s="514"/>
      <c r="AQ615" s="277"/>
      <c r="AR615" s="514"/>
      <c r="AS615" s="515"/>
    </row>
    <row r="616" spans="3:45" s="516" customFormat="1" x14ac:dyDescent="0.25">
      <c r="C616" s="478"/>
      <c r="D616" s="478"/>
      <c r="E616" s="473"/>
      <c r="F616" s="473"/>
      <c r="G616" s="509"/>
      <c r="H616" s="478"/>
      <c r="I616" s="478"/>
      <c r="J616" s="478"/>
      <c r="K616" s="478"/>
      <c r="L616" s="478"/>
      <c r="M616" s="510"/>
      <c r="N616" s="510"/>
      <c r="O616" s="510"/>
      <c r="P616" s="511"/>
      <c r="Q616" s="510"/>
      <c r="R616" s="511"/>
      <c r="S616" s="478"/>
      <c r="T616" s="478"/>
      <c r="U616" s="478"/>
      <c r="V616" s="511"/>
      <c r="W616" s="512"/>
      <c r="X616" s="512"/>
      <c r="Y616" s="513"/>
      <c r="Z616" s="512"/>
      <c r="AA616" s="277"/>
      <c r="AB616" s="277"/>
      <c r="AC616" s="277"/>
      <c r="AD616" s="277"/>
      <c r="AE616" s="277"/>
      <c r="AF616" s="277"/>
      <c r="AG616" s="277"/>
      <c r="AH616" s="277"/>
      <c r="AI616" s="277"/>
      <c r="AJ616" s="277"/>
      <c r="AK616" s="277"/>
      <c r="AL616" s="277"/>
      <c r="AM616" s="277"/>
      <c r="AN616" s="277"/>
      <c r="AO616" s="277"/>
      <c r="AP616" s="514"/>
      <c r="AQ616" s="277"/>
      <c r="AR616" s="514"/>
      <c r="AS616" s="515"/>
    </row>
    <row r="617" spans="3:45" s="516" customFormat="1" x14ac:dyDescent="0.25">
      <c r="C617" s="478"/>
      <c r="D617" s="478"/>
      <c r="E617" s="473"/>
      <c r="F617" s="473"/>
      <c r="G617" s="509"/>
      <c r="H617" s="478"/>
      <c r="I617" s="478"/>
      <c r="J617" s="478"/>
      <c r="K617" s="478"/>
      <c r="L617" s="478"/>
      <c r="M617" s="510"/>
      <c r="N617" s="510"/>
      <c r="O617" s="510"/>
      <c r="P617" s="511"/>
      <c r="Q617" s="510"/>
      <c r="R617" s="511"/>
      <c r="S617" s="478"/>
      <c r="T617" s="478"/>
      <c r="U617" s="478"/>
      <c r="V617" s="511"/>
      <c r="W617" s="512"/>
      <c r="X617" s="512"/>
      <c r="Y617" s="513"/>
      <c r="Z617" s="512"/>
      <c r="AA617" s="277"/>
      <c r="AB617" s="277"/>
      <c r="AC617" s="277"/>
      <c r="AD617" s="277"/>
      <c r="AE617" s="277"/>
      <c r="AF617" s="277"/>
      <c r="AG617" s="277"/>
      <c r="AH617" s="277"/>
      <c r="AI617" s="277"/>
      <c r="AJ617" s="277"/>
      <c r="AK617" s="277"/>
      <c r="AL617" s="277"/>
      <c r="AM617" s="277"/>
      <c r="AN617" s="277"/>
      <c r="AO617" s="277"/>
      <c r="AP617" s="514"/>
      <c r="AQ617" s="277"/>
      <c r="AR617" s="514"/>
      <c r="AS617" s="515"/>
    </row>
    <row r="618" spans="3:45" s="516" customFormat="1" x14ac:dyDescent="0.25">
      <c r="C618" s="478"/>
      <c r="D618" s="478"/>
      <c r="E618" s="473"/>
      <c r="F618" s="473"/>
      <c r="G618" s="509"/>
      <c r="H618" s="478"/>
      <c r="I618" s="478"/>
      <c r="J618" s="478"/>
      <c r="K618" s="478"/>
      <c r="L618" s="478"/>
      <c r="M618" s="510"/>
      <c r="N618" s="510"/>
      <c r="O618" s="510"/>
      <c r="P618" s="511"/>
      <c r="Q618" s="510"/>
      <c r="R618" s="511"/>
      <c r="S618" s="478"/>
      <c r="T618" s="478"/>
      <c r="U618" s="478"/>
      <c r="V618" s="511"/>
      <c r="W618" s="512"/>
      <c r="X618" s="512"/>
      <c r="Y618" s="513"/>
      <c r="Z618" s="512"/>
      <c r="AA618" s="277"/>
      <c r="AB618" s="277"/>
      <c r="AC618" s="277"/>
      <c r="AD618" s="277"/>
      <c r="AE618" s="277"/>
      <c r="AF618" s="277"/>
      <c r="AG618" s="277"/>
      <c r="AH618" s="277"/>
      <c r="AI618" s="277"/>
      <c r="AJ618" s="277"/>
      <c r="AK618" s="277"/>
      <c r="AL618" s="277"/>
      <c r="AM618" s="277"/>
      <c r="AN618" s="277"/>
      <c r="AO618" s="277"/>
      <c r="AP618" s="514"/>
      <c r="AQ618" s="277"/>
      <c r="AR618" s="514"/>
      <c r="AS618" s="515"/>
    </row>
    <row r="619" spans="3:45" s="516" customFormat="1" x14ac:dyDescent="0.25">
      <c r="C619" s="478"/>
      <c r="D619" s="478"/>
      <c r="E619" s="473"/>
      <c r="F619" s="473"/>
      <c r="G619" s="509"/>
      <c r="H619" s="478"/>
      <c r="I619" s="478"/>
      <c r="J619" s="478"/>
      <c r="K619" s="478"/>
      <c r="L619" s="478"/>
      <c r="M619" s="510"/>
      <c r="N619" s="510"/>
      <c r="O619" s="510"/>
      <c r="P619" s="511"/>
      <c r="Q619" s="510"/>
      <c r="R619" s="511"/>
      <c r="S619" s="478"/>
      <c r="T619" s="478"/>
      <c r="U619" s="478"/>
      <c r="V619" s="511"/>
      <c r="W619" s="512"/>
      <c r="X619" s="512"/>
      <c r="Y619" s="513"/>
      <c r="Z619" s="512"/>
      <c r="AA619" s="277"/>
      <c r="AB619" s="277"/>
      <c r="AC619" s="277"/>
      <c r="AD619" s="277"/>
      <c r="AE619" s="277"/>
      <c r="AF619" s="277"/>
      <c r="AG619" s="277"/>
      <c r="AH619" s="277"/>
      <c r="AI619" s="277"/>
      <c r="AJ619" s="277"/>
      <c r="AK619" s="277"/>
      <c r="AL619" s="277"/>
      <c r="AM619" s="277"/>
      <c r="AN619" s="277"/>
      <c r="AO619" s="277"/>
      <c r="AP619" s="514"/>
      <c r="AQ619" s="277"/>
      <c r="AR619" s="514"/>
      <c r="AS619" s="515"/>
    </row>
    <row r="620" spans="3:45" s="516" customFormat="1" x14ac:dyDescent="0.25">
      <c r="C620" s="478"/>
      <c r="D620" s="478"/>
      <c r="E620" s="473"/>
      <c r="F620" s="473"/>
      <c r="G620" s="509"/>
      <c r="H620" s="478"/>
      <c r="I620" s="478"/>
      <c r="J620" s="478"/>
      <c r="K620" s="478"/>
      <c r="L620" s="478"/>
      <c r="M620" s="510"/>
      <c r="N620" s="510"/>
      <c r="O620" s="510"/>
      <c r="P620" s="511"/>
      <c r="Q620" s="510"/>
      <c r="R620" s="511"/>
      <c r="S620" s="478"/>
      <c r="T620" s="478"/>
      <c r="U620" s="478"/>
      <c r="V620" s="511"/>
      <c r="W620" s="512"/>
      <c r="X620" s="512"/>
      <c r="Y620" s="513"/>
      <c r="Z620" s="512"/>
      <c r="AA620" s="277"/>
      <c r="AB620" s="277"/>
      <c r="AC620" s="277"/>
      <c r="AD620" s="277"/>
      <c r="AE620" s="277"/>
      <c r="AF620" s="277"/>
      <c r="AG620" s="277"/>
      <c r="AH620" s="277"/>
      <c r="AI620" s="277"/>
      <c r="AJ620" s="277"/>
      <c r="AK620" s="277"/>
      <c r="AL620" s="277"/>
      <c r="AM620" s="277"/>
      <c r="AN620" s="277"/>
      <c r="AO620" s="277"/>
      <c r="AP620" s="514"/>
      <c r="AQ620" s="277"/>
      <c r="AR620" s="514"/>
      <c r="AS620" s="515"/>
    </row>
    <row r="621" spans="3:45" s="516" customFormat="1" x14ac:dyDescent="0.25">
      <c r="C621" s="478"/>
      <c r="D621" s="478"/>
      <c r="E621" s="473"/>
      <c r="F621" s="473"/>
      <c r="G621" s="509"/>
      <c r="H621" s="478"/>
      <c r="I621" s="478"/>
      <c r="J621" s="478"/>
      <c r="K621" s="478"/>
      <c r="L621" s="478"/>
      <c r="M621" s="510"/>
      <c r="N621" s="510"/>
      <c r="O621" s="510"/>
      <c r="P621" s="511"/>
      <c r="Q621" s="510"/>
      <c r="R621" s="511"/>
      <c r="S621" s="478"/>
      <c r="T621" s="478"/>
      <c r="U621" s="478"/>
      <c r="V621" s="511"/>
      <c r="W621" s="512"/>
      <c r="X621" s="512"/>
      <c r="Y621" s="513"/>
      <c r="Z621" s="512"/>
      <c r="AA621" s="277"/>
      <c r="AB621" s="277"/>
      <c r="AC621" s="277"/>
      <c r="AD621" s="277"/>
      <c r="AE621" s="277"/>
      <c r="AF621" s="277"/>
      <c r="AG621" s="277"/>
      <c r="AH621" s="277"/>
      <c r="AI621" s="277"/>
      <c r="AJ621" s="277"/>
      <c r="AK621" s="277"/>
      <c r="AL621" s="277"/>
      <c r="AM621" s="277"/>
      <c r="AN621" s="277"/>
      <c r="AO621" s="277"/>
      <c r="AP621" s="514"/>
      <c r="AQ621" s="277"/>
      <c r="AR621" s="514"/>
      <c r="AS621" s="515"/>
    </row>
    <row r="622" spans="3:45" s="516" customFormat="1" x14ac:dyDescent="0.25">
      <c r="C622" s="478"/>
      <c r="D622" s="478"/>
      <c r="E622" s="473"/>
      <c r="F622" s="473"/>
      <c r="G622" s="509"/>
      <c r="H622" s="478"/>
      <c r="I622" s="478"/>
      <c r="J622" s="478"/>
      <c r="K622" s="478"/>
      <c r="L622" s="478"/>
      <c r="M622" s="510"/>
      <c r="N622" s="510"/>
      <c r="O622" s="510"/>
      <c r="P622" s="511"/>
      <c r="Q622" s="510"/>
      <c r="R622" s="511"/>
      <c r="S622" s="478"/>
      <c r="T622" s="478"/>
      <c r="U622" s="478"/>
      <c r="V622" s="511"/>
      <c r="W622" s="512"/>
      <c r="X622" s="512"/>
      <c r="Y622" s="513"/>
      <c r="Z622" s="512"/>
      <c r="AA622" s="277"/>
      <c r="AB622" s="277"/>
      <c r="AC622" s="277"/>
      <c r="AD622" s="277"/>
      <c r="AE622" s="277"/>
      <c r="AF622" s="277"/>
      <c r="AG622" s="277"/>
      <c r="AH622" s="277"/>
      <c r="AI622" s="277"/>
      <c r="AJ622" s="277"/>
      <c r="AK622" s="277"/>
      <c r="AL622" s="277"/>
      <c r="AM622" s="277"/>
      <c r="AN622" s="277"/>
      <c r="AO622" s="277"/>
      <c r="AP622" s="514"/>
      <c r="AQ622" s="277"/>
      <c r="AR622" s="514"/>
      <c r="AS622" s="515"/>
    </row>
    <row r="623" spans="3:45" s="516" customFormat="1" x14ac:dyDescent="0.25">
      <c r="C623" s="478"/>
      <c r="D623" s="478"/>
      <c r="E623" s="473"/>
      <c r="F623" s="473"/>
      <c r="G623" s="509"/>
      <c r="H623" s="478"/>
      <c r="I623" s="478"/>
      <c r="J623" s="478"/>
      <c r="K623" s="478"/>
      <c r="L623" s="478"/>
      <c r="M623" s="510"/>
      <c r="N623" s="510"/>
      <c r="O623" s="510"/>
      <c r="P623" s="511"/>
      <c r="Q623" s="510"/>
      <c r="R623" s="511"/>
      <c r="S623" s="478"/>
      <c r="T623" s="478"/>
      <c r="U623" s="478"/>
      <c r="V623" s="511"/>
      <c r="W623" s="512"/>
      <c r="X623" s="512"/>
      <c r="Y623" s="513"/>
      <c r="Z623" s="512"/>
      <c r="AA623" s="277"/>
      <c r="AB623" s="277"/>
      <c r="AC623" s="277"/>
      <c r="AD623" s="277"/>
      <c r="AE623" s="277"/>
      <c r="AF623" s="277"/>
      <c r="AG623" s="277"/>
      <c r="AH623" s="277"/>
      <c r="AI623" s="277"/>
      <c r="AJ623" s="277"/>
      <c r="AK623" s="277"/>
      <c r="AL623" s="277"/>
      <c r="AM623" s="277"/>
      <c r="AN623" s="277"/>
      <c r="AO623" s="277"/>
      <c r="AP623" s="514"/>
      <c r="AQ623" s="277"/>
      <c r="AR623" s="514"/>
      <c r="AS623" s="515"/>
    </row>
    <row r="624" spans="3:45" s="516" customFormat="1" x14ac:dyDescent="0.25">
      <c r="C624" s="478"/>
      <c r="D624" s="478"/>
      <c r="E624" s="473"/>
      <c r="F624" s="473"/>
      <c r="G624" s="509"/>
      <c r="H624" s="478"/>
      <c r="I624" s="478"/>
      <c r="J624" s="478"/>
      <c r="K624" s="478"/>
      <c r="L624" s="478"/>
      <c r="M624" s="510"/>
      <c r="N624" s="510"/>
      <c r="O624" s="510"/>
      <c r="P624" s="511"/>
      <c r="Q624" s="510"/>
      <c r="R624" s="511"/>
      <c r="S624" s="478"/>
      <c r="T624" s="478"/>
      <c r="U624" s="478"/>
      <c r="V624" s="511"/>
      <c r="W624" s="512"/>
      <c r="X624" s="512"/>
      <c r="Y624" s="513"/>
      <c r="Z624" s="512"/>
      <c r="AA624" s="277"/>
      <c r="AB624" s="277"/>
      <c r="AC624" s="277"/>
      <c r="AD624" s="277"/>
      <c r="AE624" s="277"/>
      <c r="AF624" s="277"/>
      <c r="AG624" s="277"/>
      <c r="AH624" s="277"/>
      <c r="AI624" s="277"/>
      <c r="AJ624" s="277"/>
      <c r="AK624" s="277"/>
      <c r="AL624" s="277"/>
      <c r="AM624" s="277"/>
      <c r="AN624" s="277"/>
      <c r="AO624" s="277"/>
      <c r="AP624" s="514"/>
      <c r="AQ624" s="277"/>
      <c r="AR624" s="514"/>
      <c r="AS624" s="515"/>
    </row>
    <row r="625" spans="3:45" s="516" customFormat="1" x14ac:dyDescent="0.25">
      <c r="C625" s="478"/>
      <c r="D625" s="478"/>
      <c r="E625" s="473"/>
      <c r="F625" s="473"/>
      <c r="G625" s="509"/>
      <c r="H625" s="478"/>
      <c r="I625" s="478"/>
      <c r="J625" s="478"/>
      <c r="K625" s="478"/>
      <c r="L625" s="478"/>
      <c r="M625" s="510"/>
      <c r="N625" s="510"/>
      <c r="O625" s="510"/>
      <c r="P625" s="511"/>
      <c r="Q625" s="510"/>
      <c r="R625" s="511"/>
      <c r="S625" s="478"/>
      <c r="T625" s="478"/>
      <c r="U625" s="478"/>
      <c r="V625" s="511"/>
      <c r="W625" s="512"/>
      <c r="X625" s="512"/>
      <c r="Y625" s="513"/>
      <c r="Z625" s="512"/>
      <c r="AA625" s="277"/>
      <c r="AB625" s="277"/>
      <c r="AC625" s="277"/>
      <c r="AD625" s="277"/>
      <c r="AE625" s="277"/>
      <c r="AF625" s="277"/>
      <c r="AG625" s="277"/>
      <c r="AH625" s="277"/>
      <c r="AI625" s="277"/>
      <c r="AJ625" s="277"/>
      <c r="AK625" s="277"/>
      <c r="AL625" s="277"/>
      <c r="AM625" s="277"/>
      <c r="AN625" s="277"/>
      <c r="AO625" s="277"/>
      <c r="AP625" s="514"/>
      <c r="AQ625" s="277"/>
      <c r="AR625" s="514"/>
      <c r="AS625" s="515"/>
    </row>
    <row r="626" spans="3:45" s="516" customFormat="1" x14ac:dyDescent="0.25">
      <c r="C626" s="478"/>
      <c r="D626" s="478"/>
      <c r="E626" s="473"/>
      <c r="F626" s="473"/>
      <c r="G626" s="509"/>
      <c r="H626" s="478"/>
      <c r="I626" s="478"/>
      <c r="J626" s="478"/>
      <c r="K626" s="478"/>
      <c r="L626" s="478"/>
      <c r="M626" s="510"/>
      <c r="N626" s="510"/>
      <c r="O626" s="510"/>
      <c r="P626" s="511"/>
      <c r="Q626" s="510"/>
      <c r="R626" s="511"/>
      <c r="S626" s="478"/>
      <c r="T626" s="478"/>
      <c r="U626" s="478"/>
      <c r="V626" s="511"/>
      <c r="W626" s="512"/>
      <c r="X626" s="512"/>
      <c r="Y626" s="513"/>
      <c r="Z626" s="512"/>
      <c r="AA626" s="277"/>
      <c r="AB626" s="277"/>
      <c r="AC626" s="277"/>
      <c r="AD626" s="277"/>
      <c r="AE626" s="277"/>
      <c r="AF626" s="277"/>
      <c r="AG626" s="277"/>
      <c r="AH626" s="277"/>
      <c r="AI626" s="277"/>
      <c r="AJ626" s="277"/>
      <c r="AK626" s="277"/>
      <c r="AL626" s="277"/>
      <c r="AM626" s="277"/>
      <c r="AN626" s="277"/>
      <c r="AO626" s="277"/>
      <c r="AP626" s="514"/>
      <c r="AQ626" s="277"/>
      <c r="AR626" s="514"/>
      <c r="AS626" s="515"/>
    </row>
    <row r="627" spans="3:45" s="516" customFormat="1" x14ac:dyDescent="0.25">
      <c r="C627" s="478"/>
      <c r="D627" s="478"/>
      <c r="E627" s="473"/>
      <c r="F627" s="473"/>
      <c r="G627" s="509"/>
      <c r="H627" s="478"/>
      <c r="I627" s="478"/>
      <c r="J627" s="478"/>
      <c r="K627" s="478"/>
      <c r="L627" s="478"/>
      <c r="M627" s="510"/>
      <c r="N627" s="510"/>
      <c r="O627" s="510"/>
      <c r="P627" s="511"/>
      <c r="Q627" s="510"/>
      <c r="R627" s="511"/>
      <c r="S627" s="478"/>
      <c r="T627" s="478"/>
      <c r="U627" s="478"/>
      <c r="V627" s="511"/>
      <c r="W627" s="512"/>
      <c r="X627" s="512"/>
      <c r="Y627" s="513"/>
      <c r="Z627" s="512"/>
      <c r="AA627" s="277"/>
      <c r="AB627" s="277"/>
      <c r="AC627" s="277"/>
      <c r="AD627" s="277"/>
      <c r="AE627" s="277"/>
      <c r="AF627" s="277"/>
      <c r="AG627" s="277"/>
      <c r="AH627" s="277"/>
      <c r="AI627" s="277"/>
      <c r="AJ627" s="277"/>
      <c r="AK627" s="277"/>
      <c r="AL627" s="277"/>
      <c r="AM627" s="277"/>
      <c r="AN627" s="277"/>
      <c r="AO627" s="277"/>
      <c r="AP627" s="514"/>
      <c r="AQ627" s="277"/>
      <c r="AR627" s="514"/>
      <c r="AS627" s="515"/>
    </row>
    <row r="628" spans="3:45" s="516" customFormat="1" x14ac:dyDescent="0.25">
      <c r="C628" s="478"/>
      <c r="D628" s="478"/>
      <c r="E628" s="473"/>
      <c r="F628" s="473"/>
      <c r="G628" s="509"/>
      <c r="H628" s="478"/>
      <c r="I628" s="478"/>
      <c r="J628" s="478"/>
      <c r="K628" s="478"/>
      <c r="L628" s="478"/>
      <c r="M628" s="510"/>
      <c r="N628" s="510"/>
      <c r="O628" s="510"/>
      <c r="P628" s="511"/>
      <c r="Q628" s="510"/>
      <c r="R628" s="511"/>
      <c r="S628" s="478"/>
      <c r="T628" s="478"/>
      <c r="U628" s="478"/>
      <c r="V628" s="511"/>
      <c r="W628" s="512"/>
      <c r="X628" s="512"/>
      <c r="Y628" s="513"/>
      <c r="Z628" s="512"/>
      <c r="AA628" s="277"/>
      <c r="AB628" s="277"/>
      <c r="AC628" s="277"/>
      <c r="AD628" s="277"/>
      <c r="AE628" s="277"/>
      <c r="AF628" s="277"/>
      <c r="AG628" s="277"/>
      <c r="AH628" s="277"/>
      <c r="AI628" s="277"/>
      <c r="AJ628" s="277"/>
      <c r="AK628" s="277"/>
      <c r="AL628" s="277"/>
      <c r="AM628" s="277"/>
      <c r="AN628" s="277"/>
      <c r="AO628" s="277"/>
      <c r="AP628" s="514"/>
      <c r="AQ628" s="277"/>
      <c r="AR628" s="514"/>
      <c r="AS628" s="515"/>
    </row>
    <row r="629" spans="3:45" s="516" customFormat="1" x14ac:dyDescent="0.25">
      <c r="C629" s="478"/>
      <c r="D629" s="478"/>
      <c r="E629" s="473"/>
      <c r="F629" s="473"/>
      <c r="G629" s="509"/>
      <c r="H629" s="478"/>
      <c r="I629" s="478"/>
      <c r="J629" s="478"/>
      <c r="K629" s="478"/>
      <c r="L629" s="478"/>
      <c r="M629" s="510"/>
      <c r="N629" s="510"/>
      <c r="O629" s="510"/>
      <c r="P629" s="511"/>
      <c r="Q629" s="510"/>
      <c r="R629" s="511"/>
      <c r="S629" s="478"/>
      <c r="T629" s="478"/>
      <c r="U629" s="478"/>
      <c r="V629" s="511"/>
      <c r="W629" s="512"/>
      <c r="X629" s="512"/>
      <c r="Y629" s="513"/>
      <c r="Z629" s="512"/>
      <c r="AA629" s="277"/>
      <c r="AB629" s="277"/>
      <c r="AC629" s="277"/>
      <c r="AD629" s="277"/>
      <c r="AE629" s="277"/>
      <c r="AF629" s="277"/>
      <c r="AG629" s="277"/>
      <c r="AH629" s="277"/>
      <c r="AI629" s="277"/>
      <c r="AJ629" s="277"/>
      <c r="AK629" s="277"/>
      <c r="AL629" s="277"/>
      <c r="AM629" s="277"/>
      <c r="AN629" s="277"/>
      <c r="AO629" s="277"/>
      <c r="AP629" s="514"/>
      <c r="AQ629" s="277"/>
      <c r="AR629" s="514"/>
      <c r="AS629" s="515"/>
    </row>
    <row r="630" spans="3:45" s="516" customFormat="1" x14ac:dyDescent="0.25">
      <c r="C630" s="478"/>
      <c r="D630" s="478"/>
      <c r="E630" s="473"/>
      <c r="F630" s="473"/>
      <c r="G630" s="509"/>
      <c r="H630" s="478"/>
      <c r="I630" s="478"/>
      <c r="J630" s="478"/>
      <c r="K630" s="478"/>
      <c r="L630" s="478"/>
      <c r="M630" s="510"/>
      <c r="N630" s="510"/>
      <c r="O630" s="510"/>
      <c r="P630" s="511"/>
      <c r="Q630" s="510"/>
      <c r="R630" s="511"/>
      <c r="S630" s="478"/>
      <c r="T630" s="478"/>
      <c r="U630" s="478"/>
      <c r="V630" s="511"/>
      <c r="W630" s="512"/>
      <c r="X630" s="512"/>
      <c r="Y630" s="513"/>
      <c r="Z630" s="512"/>
      <c r="AA630" s="277"/>
      <c r="AB630" s="277"/>
      <c r="AC630" s="277"/>
      <c r="AD630" s="277"/>
      <c r="AE630" s="277"/>
      <c r="AF630" s="277"/>
      <c r="AG630" s="277"/>
      <c r="AH630" s="277"/>
      <c r="AI630" s="277"/>
      <c r="AJ630" s="277"/>
      <c r="AK630" s="277"/>
      <c r="AL630" s="277"/>
      <c r="AM630" s="277"/>
      <c r="AN630" s="277"/>
      <c r="AO630" s="277"/>
      <c r="AP630" s="514"/>
      <c r="AQ630" s="277"/>
      <c r="AR630" s="514"/>
      <c r="AS630" s="515"/>
    </row>
    <row r="631" spans="3:45" s="516" customFormat="1" x14ac:dyDescent="0.25">
      <c r="C631" s="478"/>
      <c r="D631" s="478"/>
      <c r="E631" s="473"/>
      <c r="F631" s="473"/>
      <c r="G631" s="509"/>
      <c r="H631" s="478"/>
      <c r="I631" s="478"/>
      <c r="J631" s="478"/>
      <c r="K631" s="478"/>
      <c r="L631" s="478"/>
      <c r="M631" s="510"/>
      <c r="N631" s="510"/>
      <c r="O631" s="510"/>
      <c r="P631" s="511"/>
      <c r="Q631" s="510"/>
      <c r="R631" s="511"/>
      <c r="S631" s="478"/>
      <c r="T631" s="478"/>
      <c r="U631" s="478"/>
      <c r="V631" s="511"/>
      <c r="W631" s="512"/>
      <c r="X631" s="512"/>
      <c r="Y631" s="513"/>
      <c r="Z631" s="512"/>
      <c r="AA631" s="277"/>
      <c r="AB631" s="277"/>
      <c r="AC631" s="277"/>
      <c r="AD631" s="277"/>
      <c r="AE631" s="277"/>
      <c r="AF631" s="277"/>
      <c r="AG631" s="277"/>
      <c r="AH631" s="277"/>
      <c r="AI631" s="277"/>
      <c r="AJ631" s="277"/>
      <c r="AK631" s="277"/>
      <c r="AL631" s="277"/>
      <c r="AM631" s="277"/>
      <c r="AN631" s="277"/>
      <c r="AO631" s="277"/>
      <c r="AP631" s="514"/>
      <c r="AQ631" s="277"/>
      <c r="AR631" s="514"/>
      <c r="AS631" s="515"/>
    </row>
    <row r="632" spans="3:45" s="516" customFormat="1" x14ac:dyDescent="0.25">
      <c r="C632" s="478"/>
      <c r="D632" s="478"/>
      <c r="E632" s="473"/>
      <c r="F632" s="473"/>
      <c r="G632" s="509"/>
      <c r="H632" s="478"/>
      <c r="I632" s="478"/>
      <c r="J632" s="478"/>
      <c r="K632" s="478"/>
      <c r="L632" s="478"/>
      <c r="M632" s="510"/>
      <c r="N632" s="510"/>
      <c r="O632" s="510"/>
      <c r="P632" s="511"/>
      <c r="Q632" s="510"/>
      <c r="R632" s="511"/>
      <c r="S632" s="478"/>
      <c r="T632" s="478"/>
      <c r="U632" s="478"/>
      <c r="V632" s="511"/>
      <c r="W632" s="512"/>
      <c r="X632" s="512"/>
      <c r="Y632" s="513"/>
      <c r="Z632" s="512"/>
      <c r="AA632" s="277"/>
      <c r="AB632" s="277"/>
      <c r="AC632" s="277"/>
      <c r="AD632" s="277"/>
      <c r="AE632" s="277"/>
      <c r="AF632" s="277"/>
      <c r="AG632" s="277"/>
      <c r="AH632" s="277"/>
      <c r="AI632" s="277"/>
      <c r="AJ632" s="277"/>
      <c r="AK632" s="277"/>
      <c r="AL632" s="277"/>
      <c r="AM632" s="277"/>
      <c r="AN632" s="277"/>
      <c r="AO632" s="277"/>
      <c r="AP632" s="514"/>
      <c r="AQ632" s="277"/>
      <c r="AR632" s="514"/>
      <c r="AS632" s="515"/>
    </row>
    <row r="633" spans="3:45" s="516" customFormat="1" x14ac:dyDescent="0.25">
      <c r="C633" s="478"/>
      <c r="D633" s="478"/>
      <c r="E633" s="473"/>
      <c r="F633" s="473"/>
      <c r="G633" s="509"/>
      <c r="H633" s="478"/>
      <c r="I633" s="478"/>
      <c r="J633" s="478"/>
      <c r="K633" s="478"/>
      <c r="L633" s="478"/>
      <c r="M633" s="510"/>
      <c r="N633" s="510"/>
      <c r="O633" s="510"/>
      <c r="P633" s="511"/>
      <c r="Q633" s="510"/>
      <c r="R633" s="511"/>
      <c r="S633" s="478"/>
      <c r="T633" s="478"/>
      <c r="U633" s="478"/>
      <c r="V633" s="511"/>
      <c r="W633" s="512"/>
      <c r="X633" s="512"/>
      <c r="Y633" s="513"/>
      <c r="Z633" s="512"/>
      <c r="AA633" s="277"/>
      <c r="AB633" s="277"/>
      <c r="AC633" s="277"/>
      <c r="AD633" s="277"/>
      <c r="AE633" s="277"/>
      <c r="AF633" s="277"/>
      <c r="AG633" s="277"/>
      <c r="AH633" s="277"/>
      <c r="AI633" s="277"/>
      <c r="AJ633" s="277"/>
      <c r="AK633" s="277"/>
      <c r="AL633" s="277"/>
      <c r="AM633" s="277"/>
      <c r="AN633" s="277"/>
      <c r="AO633" s="277"/>
      <c r="AP633" s="514"/>
      <c r="AQ633" s="277"/>
      <c r="AR633" s="514"/>
      <c r="AS633" s="515"/>
    </row>
    <row r="634" spans="3:45" s="516" customFormat="1" x14ac:dyDescent="0.25">
      <c r="C634" s="478"/>
      <c r="D634" s="478"/>
      <c r="E634" s="473"/>
      <c r="F634" s="473"/>
      <c r="G634" s="509"/>
      <c r="H634" s="478"/>
      <c r="I634" s="478"/>
      <c r="J634" s="478"/>
      <c r="K634" s="478"/>
      <c r="L634" s="478"/>
      <c r="M634" s="510"/>
      <c r="N634" s="510"/>
      <c r="O634" s="510"/>
      <c r="P634" s="511"/>
      <c r="Q634" s="510"/>
      <c r="R634" s="511"/>
      <c r="S634" s="478"/>
      <c r="T634" s="478"/>
      <c r="U634" s="478"/>
      <c r="V634" s="511"/>
      <c r="W634" s="512"/>
      <c r="X634" s="512"/>
      <c r="Y634" s="513"/>
      <c r="Z634" s="512"/>
      <c r="AA634" s="277"/>
      <c r="AB634" s="277"/>
      <c r="AC634" s="277"/>
      <c r="AD634" s="277"/>
      <c r="AE634" s="277"/>
      <c r="AF634" s="277"/>
      <c r="AG634" s="277"/>
      <c r="AH634" s="277"/>
      <c r="AI634" s="277"/>
      <c r="AJ634" s="277"/>
      <c r="AK634" s="277"/>
      <c r="AL634" s="277"/>
      <c r="AM634" s="277"/>
      <c r="AN634" s="277"/>
      <c r="AO634" s="277"/>
      <c r="AP634" s="514"/>
      <c r="AQ634" s="277"/>
      <c r="AR634" s="514"/>
      <c r="AS634" s="515"/>
    </row>
    <row r="635" spans="3:45" s="516" customFormat="1" x14ac:dyDescent="0.25">
      <c r="C635" s="478"/>
      <c r="D635" s="478"/>
      <c r="E635" s="473"/>
      <c r="F635" s="473"/>
      <c r="G635" s="509"/>
      <c r="H635" s="478"/>
      <c r="I635" s="478"/>
      <c r="J635" s="478"/>
      <c r="K635" s="478"/>
      <c r="L635" s="478"/>
      <c r="M635" s="510"/>
      <c r="N635" s="510"/>
      <c r="O635" s="510"/>
      <c r="P635" s="511"/>
      <c r="Q635" s="510"/>
      <c r="R635" s="511"/>
      <c r="S635" s="478"/>
      <c r="T635" s="478"/>
      <c r="U635" s="478"/>
      <c r="V635" s="511"/>
      <c r="W635" s="512"/>
      <c r="X635" s="512"/>
      <c r="Y635" s="513"/>
      <c r="Z635" s="512"/>
      <c r="AA635" s="277"/>
      <c r="AB635" s="277"/>
      <c r="AC635" s="277"/>
      <c r="AD635" s="277"/>
      <c r="AE635" s="277"/>
      <c r="AF635" s="277"/>
      <c r="AG635" s="277"/>
      <c r="AH635" s="277"/>
      <c r="AI635" s="277"/>
      <c r="AJ635" s="277"/>
      <c r="AK635" s="277"/>
      <c r="AL635" s="277"/>
      <c r="AM635" s="277"/>
      <c r="AN635" s="277"/>
      <c r="AO635" s="277"/>
      <c r="AP635" s="514"/>
      <c r="AQ635" s="277"/>
      <c r="AR635" s="514"/>
      <c r="AS635" s="515"/>
    </row>
    <row r="636" spans="3:45" s="516" customFormat="1" x14ac:dyDescent="0.25">
      <c r="C636" s="478"/>
      <c r="D636" s="478"/>
      <c r="E636" s="473"/>
      <c r="F636" s="473"/>
      <c r="G636" s="509"/>
      <c r="H636" s="478"/>
      <c r="I636" s="478"/>
      <c r="J636" s="478"/>
      <c r="K636" s="478"/>
      <c r="L636" s="478"/>
      <c r="M636" s="510"/>
      <c r="N636" s="510"/>
      <c r="O636" s="510"/>
      <c r="P636" s="511"/>
      <c r="Q636" s="510"/>
      <c r="R636" s="511"/>
      <c r="S636" s="478"/>
      <c r="T636" s="478"/>
      <c r="U636" s="478"/>
      <c r="V636" s="511"/>
      <c r="W636" s="512"/>
      <c r="X636" s="512"/>
      <c r="Y636" s="513"/>
      <c r="Z636" s="512"/>
      <c r="AA636" s="277"/>
      <c r="AB636" s="277"/>
      <c r="AC636" s="277"/>
      <c r="AD636" s="277"/>
      <c r="AE636" s="277"/>
      <c r="AF636" s="277"/>
      <c r="AG636" s="277"/>
      <c r="AH636" s="277"/>
      <c r="AI636" s="277"/>
      <c r="AJ636" s="277"/>
      <c r="AK636" s="277"/>
      <c r="AL636" s="277"/>
      <c r="AM636" s="277"/>
      <c r="AN636" s="277"/>
      <c r="AO636" s="277"/>
      <c r="AP636" s="514"/>
      <c r="AQ636" s="277"/>
      <c r="AR636" s="514"/>
      <c r="AS636" s="515"/>
    </row>
    <row r="637" spans="3:45" x14ac:dyDescent="0.25">
      <c r="E637" s="508"/>
      <c r="F637" s="473"/>
      <c r="G637" s="274"/>
    </row>
    <row r="638" spans="3:45" x14ac:dyDescent="0.25">
      <c r="E638" s="298"/>
      <c r="F638" s="473"/>
      <c r="G638" s="274"/>
    </row>
    <row r="639" spans="3:45" x14ac:dyDescent="0.25">
      <c r="E639" s="298"/>
      <c r="F639" s="473"/>
      <c r="G639" s="274"/>
    </row>
    <row r="640" spans="3:45" x14ac:dyDescent="0.25">
      <c r="E640" s="298"/>
      <c r="F640" s="473"/>
      <c r="G640" s="274"/>
    </row>
    <row r="641" spans="5:7" x14ac:dyDescent="0.25">
      <c r="E641" s="298"/>
      <c r="F641" s="473"/>
      <c r="G641" s="274"/>
    </row>
    <row r="642" spans="5:7" x14ac:dyDescent="0.25">
      <c r="E642" s="298"/>
      <c r="F642" s="473"/>
      <c r="G642" s="274"/>
    </row>
    <row r="643" spans="5:7" x14ac:dyDescent="0.25">
      <c r="E643" s="298"/>
      <c r="F643" s="473"/>
      <c r="G643" s="274"/>
    </row>
    <row r="644" spans="5:7" x14ac:dyDescent="0.25">
      <c r="E644" s="298"/>
      <c r="F644" s="473"/>
      <c r="G644" s="274"/>
    </row>
  </sheetData>
  <protectedRanges>
    <protectedRange algorithmName="SHA-512" hashValue="p1zaDFJkdjN+AnmfzFBjbFKRbWYOQQg+cT1DzqDhOzloqO83qQsI/t5kPN30lmEEP3guKkM4uc2fEPeaztRBYA==" saltValue="+Rl2QHA+Wv31lMWEuJdOoQ==" spinCount="100000" sqref="L28:P28" name="Nolan_21"/>
    <protectedRange algorithmName="SHA-512" hashValue="7kKMQlnDQnaF2pWl7cOum7Q4v5K+/RuncQjNwOX/9VMC6IpRzPVvdGKHyOugwdH0ncs0E84+2rLp7ry6I8ErdA==" saltValue="jtLfJTgX02XzBGTPnDDc1A==" spinCount="100000" sqref="G13" name="Peggy_1"/>
    <protectedRange algorithmName="SHA-512" hashValue="p1zaDFJkdjN+AnmfzFBjbFKRbWYOQQg+cT1DzqDhOzloqO83qQsI/t5kPN30lmEEP3guKkM4uc2fEPeaztRBYA==" saltValue="+Rl2QHA+Wv31lMWEuJdOoQ==" spinCount="100000" sqref="L13:O13 M14:M15 Q13" name="Nolan"/>
    <protectedRange algorithmName="SHA-512" hashValue="7kKMQlnDQnaF2pWl7cOum7Q4v5K+/RuncQjNwOX/9VMC6IpRzPVvdGKHyOugwdH0ncs0E84+2rLp7ry6I8ErdA==" saltValue="jtLfJTgX02XzBGTPnDDc1A==" spinCount="100000" sqref="G14" name="Peggy_3"/>
    <protectedRange algorithmName="SHA-512" hashValue="p1zaDFJkdjN+AnmfzFBjbFKRbWYOQQg+cT1DzqDhOzloqO83qQsI/t5kPN30lmEEP3guKkM4uc2fEPeaztRBYA==" saltValue="+Rl2QHA+Wv31lMWEuJdOoQ==" spinCount="100000" sqref="L14 N14:O14 Q14" name="Nolan_2"/>
    <protectedRange algorithmName="SHA-512" hashValue="p1zaDFJkdjN+AnmfzFBjbFKRbWYOQQg+cT1DzqDhOzloqO83qQsI/t5kPN30lmEEP3guKkM4uc2fEPeaztRBYA==" saltValue="+Rl2QHA+Wv31lMWEuJdOoQ==" spinCount="100000" sqref="M6:Q6" name="Nolan_13_1"/>
    <protectedRange algorithmName="SHA-512" hashValue="p1zaDFJkdjN+AnmfzFBjbFKRbWYOQQg+cT1DzqDhOzloqO83qQsI/t5kPN30lmEEP3guKkM4uc2fEPeaztRBYA==" saltValue="+Rl2QHA+Wv31lMWEuJdOoQ==" spinCount="100000" sqref="O26:P26 O60:P60" name="Nolan_3"/>
  </protectedRanges>
  <autoFilter ref="A2:AU93" xr:uid="{03440E11-61FF-4873-A9FE-40198335FF64}"/>
  <mergeCells count="1">
    <mergeCell ref="AC1:AN1"/>
  </mergeCells>
  <conditionalFormatting sqref="AQ122:AQ131 AQ38:AQ39 AQ42:AQ50 AQ4:AQ22 AQ35 AQ24:AQ33 AQ53:AQ58 AQ61:AQ76 AQ134:AQ155 AQ79:AQ82 AQ84:AQ93 AQ101:AQ107">
    <cfRule type="cellIs" dxfId="169" priority="164" operator="lessThan">
      <formula>AA4</formula>
    </cfRule>
    <cfRule type="cellIs" dxfId="168" priority="165" operator="greaterThan">
      <formula>AA4</formula>
    </cfRule>
    <cfRule type="cellIs" dxfId="167" priority="166" operator="equal">
      <formula>AA4</formula>
    </cfRule>
  </conditionalFormatting>
  <conditionalFormatting sqref="S111:S113 S115:S118 S157:S1048576 S122:S125 I43:I45 I3:I20 I101:I105 I148 S101:S106 I24:I35 S2:S33 I79:I81 I61:I69 I53:I58 S35:S49 S51:S82 S84:S99 S127:S155">
    <cfRule type="cellIs" dxfId="166" priority="162" operator="equal">
      <formula>"no"</formula>
    </cfRule>
    <cfRule type="cellIs" dxfId="165" priority="163" operator="equal">
      <formula>"yes"</formula>
    </cfRule>
  </conditionalFormatting>
  <conditionalFormatting sqref="AA122:AA125 AB59 AA13:AA20 AA25:AA38 AA40:AA77 AA127:AA155 AA79:AA82 AA84:AA93 AA101:AA107">
    <cfRule type="cellIs" dxfId="164" priority="161" operator="equal">
      <formula>0</formula>
    </cfRule>
  </conditionalFormatting>
  <conditionalFormatting sqref="T149:U149 T130:U130 T77:V77 T122:U127 M24:N25 W130:Z130 W149:Z149 W122:Z127 G41:I41 S1 T150:Z151 G46:I46 G14:I15 G23:I23 G5:I5 G1:I2 G3:H4 G36:I37 G38:H40 X77:Z77 G42:H45 G47:H51 I43:I45 I47:I50 H13:I13 H16:I20 E18:G20 K23:L25 G24:H35 H6:H12 G6:G13 G16:G17 G21:H22 K1:R22 I29:I35 O23:R25 I25 S69 G52:I53 S50:Z50 S107:Z107 E1:F17 E21:F53 G121:I121 W152:Z155 T152:U155 K156:R1048576 K148:O155 Q148:R155 E122:I1048576 D79:D81 K26:R82 K84:R147 D84:D93 D107 E54:I82 E84:I120">
    <cfRule type="cellIs" dxfId="163" priority="160" operator="equal">
      <formula>"TBD"</formula>
    </cfRule>
  </conditionalFormatting>
  <conditionalFormatting sqref="AB98:AO98">
    <cfRule type="cellIs" dxfId="162" priority="149" operator="equal">
      <formula>0</formula>
    </cfRule>
    <cfRule type="cellIs" dxfId="161" priority="158" operator="lessThan">
      <formula>0</formula>
    </cfRule>
    <cfRule type="cellIs" dxfId="160" priority="159" operator="greaterThan">
      <formula>0</formula>
    </cfRule>
  </conditionalFormatting>
  <conditionalFormatting sqref="S106:S110">
    <cfRule type="cellIs" dxfId="159" priority="156" operator="equal">
      <formula>"no"</formula>
    </cfRule>
    <cfRule type="cellIs" dxfId="158" priority="157" operator="equal">
      <formula>"yes"</formula>
    </cfRule>
  </conditionalFormatting>
  <conditionalFormatting sqref="AB106:AB107 AB114 AB119:AB156 AS3:AS33 AS121:AS156 AS35:AS82 AS84:AS96 AS101:AS107">
    <cfRule type="cellIs" dxfId="157" priority="154" operator="lessThan">
      <formula>0</formula>
    </cfRule>
    <cfRule type="cellIs" dxfId="156" priority="155" operator="greaterThan">
      <formula>0</formula>
    </cfRule>
  </conditionalFormatting>
  <conditionalFormatting sqref="S114">
    <cfRule type="cellIs" dxfId="155" priority="152" operator="equal">
      <formula>"no"</formula>
    </cfRule>
    <cfRule type="cellIs" dxfId="154" priority="153" operator="equal">
      <formula>"yes"</formula>
    </cfRule>
  </conditionalFormatting>
  <conditionalFormatting sqref="S119:S156">
    <cfRule type="cellIs" dxfId="153" priority="150" operator="equal">
      <formula>"no"</formula>
    </cfRule>
    <cfRule type="cellIs" dxfId="152" priority="151" operator="equal">
      <formula>"yes"</formula>
    </cfRule>
  </conditionalFormatting>
  <conditionalFormatting sqref="S3:S6 S21:S22">
    <cfRule type="cellIs" dxfId="151" priority="147" operator="equal">
      <formula>"no"</formula>
    </cfRule>
    <cfRule type="cellIs" dxfId="150" priority="148" operator="equal">
      <formula>"yes"</formula>
    </cfRule>
  </conditionalFormatting>
  <conditionalFormatting sqref="K3:R6">
    <cfRule type="cellIs" dxfId="149" priority="146" operator="equal">
      <formula>"TBD"</formula>
    </cfRule>
  </conditionalFormatting>
  <conditionalFormatting sqref="AQ132">
    <cfRule type="cellIs" dxfId="148" priority="143" operator="lessThan">
      <formula>AA132</formula>
    </cfRule>
    <cfRule type="cellIs" dxfId="147" priority="144" operator="greaterThan">
      <formula>AA132</formula>
    </cfRule>
    <cfRule type="cellIs" dxfId="146" priority="145" operator="equal">
      <formula>AA132</formula>
    </cfRule>
  </conditionalFormatting>
  <conditionalFormatting sqref="S155">
    <cfRule type="cellIs" dxfId="145" priority="141" operator="equal">
      <formula>"no"</formula>
    </cfRule>
    <cfRule type="cellIs" dxfId="144" priority="142" operator="equal">
      <formula>"yes"</formula>
    </cfRule>
  </conditionalFormatting>
  <conditionalFormatting sqref="O154:O155 R155 K154:M155">
    <cfRule type="cellIs" dxfId="143" priority="140" operator="equal">
      <formula>"TBD"</formula>
    </cfRule>
  </conditionalFormatting>
  <conditionalFormatting sqref="S21:S22">
    <cfRule type="cellIs" dxfId="142" priority="138" operator="equal">
      <formula>"no"</formula>
    </cfRule>
    <cfRule type="cellIs" dxfId="141" priority="139" operator="equal">
      <formula>"yes"</formula>
    </cfRule>
  </conditionalFormatting>
  <conditionalFormatting sqref="K3:R6">
    <cfRule type="cellIs" dxfId="140" priority="137" operator="equal">
      <formula>"TBD"</formula>
    </cfRule>
  </conditionalFormatting>
  <conditionalFormatting sqref="G54 M54 O54 Q54">
    <cfRule type="cellIs" dxfId="139" priority="136" operator="equal">
      <formula>"TBD"</formula>
    </cfRule>
  </conditionalFormatting>
  <conditionalFormatting sqref="S46">
    <cfRule type="cellIs" dxfId="138" priority="134" operator="equal">
      <formula>"no"</formula>
    </cfRule>
    <cfRule type="cellIs" dxfId="137" priority="135" operator="equal">
      <formula>"yes"</formula>
    </cfRule>
  </conditionalFormatting>
  <conditionalFormatting sqref="T77:V77 M24:N25 G41:I41 S1 T150:Z151 G46:I46 G14:I15 G5:I5 G23:I23 G3:H4 X77:Z77 G1:I2 G42:H45 G47:H51 I43:I45 I47:I50 H13:I13 H16:I20 E18:G20 G101:I125 K23:L25 H6:H12 G6:G13 G16:G17 G21:H22 K1:R22 G24:H40 I29:I37 O23:R25 I25 S69 G52:I60 S50:Z50 S107:Z107 E1:F17 E21:F60 E155:I155 E101:F120 G127:G1048576 H126:I1048576 W152:Z155 T152:U155 T122:U149 W122:Z149 K156:R1048576 K148:O155 Q148:R155 E122:F1048576 D79:D81 K26:R82 K84:R147 D84:D93 E61:I82 E84:I100 D107:I107">
    <cfRule type="containsText" dxfId="136" priority="132" operator="containsText" text="DEAD">
      <formula>NOT(ISERROR(SEARCH("DEAD",D1)))</formula>
    </cfRule>
    <cfRule type="containsText" dxfId="135" priority="133" operator="containsText" text="HOLD">
      <formula>NOT(ISERROR(SEARCH("HOLD",D1)))</formula>
    </cfRule>
  </conditionalFormatting>
  <conditionalFormatting sqref="O13 M13:M15 Q13:R13">
    <cfRule type="cellIs" dxfId="134" priority="131" operator="equal">
      <formula>"TBD"</formula>
    </cfRule>
  </conditionalFormatting>
  <conditionalFormatting sqref="M14 O14 Q14:R14">
    <cfRule type="cellIs" dxfId="133" priority="130" operator="equal">
      <formula>"TBD"</formula>
    </cfRule>
  </conditionalFormatting>
  <conditionalFormatting sqref="S121">
    <cfRule type="cellIs" dxfId="132" priority="128" operator="equal">
      <formula>"no"</formula>
    </cfRule>
    <cfRule type="cellIs" dxfId="131" priority="129" operator="equal">
      <formula>"yes"</formula>
    </cfRule>
  </conditionalFormatting>
  <conditionalFormatting sqref="AQ156">
    <cfRule type="cellIs" dxfId="130" priority="125" operator="lessThan">
      <formula>AA156</formula>
    </cfRule>
    <cfRule type="cellIs" dxfId="129" priority="126" operator="greaterThan">
      <formula>AA156</formula>
    </cfRule>
    <cfRule type="cellIs" dxfId="128" priority="127" operator="equal">
      <formula>AA156</formula>
    </cfRule>
  </conditionalFormatting>
  <conditionalFormatting sqref="S156">
    <cfRule type="cellIs" dxfId="127" priority="123" operator="equal">
      <formula>"no"</formula>
    </cfRule>
    <cfRule type="cellIs" dxfId="126" priority="124" operator="equal">
      <formula>"yes"</formula>
    </cfRule>
  </conditionalFormatting>
  <conditionalFormatting sqref="T122:U123 T125:U130 W122:Z123 W125:Z130 G122:I125 K122:R125 G128:I130 K128:R130">
    <cfRule type="cellIs" dxfId="125" priority="122" operator="equal">
      <formula>"SOLD"</formula>
    </cfRule>
  </conditionalFormatting>
  <conditionalFormatting sqref="T124:U124 H126:I127 W124:Z124 M126:R126 K126:L127">
    <cfRule type="cellIs" dxfId="124" priority="121" operator="equal">
      <formula>"SOLD"</formula>
    </cfRule>
  </conditionalFormatting>
  <conditionalFormatting sqref="U153:U155">
    <cfRule type="cellIs" dxfId="123" priority="120" operator="equal">
      <formula>"TBD"</formula>
    </cfRule>
  </conditionalFormatting>
  <conditionalFormatting sqref="T134:U134">
    <cfRule type="cellIs" dxfId="122" priority="119" operator="equal">
      <formula>"TBD"</formula>
    </cfRule>
  </conditionalFormatting>
  <conditionalFormatting sqref="T134:U134">
    <cfRule type="containsText" dxfId="121" priority="117" operator="containsText" text="DEAD">
      <formula>NOT(ISERROR(SEARCH("DEAD",T134)))</formula>
    </cfRule>
    <cfRule type="containsText" dxfId="120" priority="118" operator="containsText" text="HOLD">
      <formula>NOT(ISERROR(SEARCH("HOLD",T134)))</formula>
    </cfRule>
  </conditionalFormatting>
  <conditionalFormatting sqref="AA127">
    <cfRule type="cellIs" dxfId="119" priority="116" operator="equal">
      <formula>0</formula>
    </cfRule>
  </conditionalFormatting>
  <conditionalFormatting sqref="M23:N23">
    <cfRule type="cellIs" dxfId="118" priority="115" operator="equal">
      <formula>"TBD"</formula>
    </cfRule>
  </conditionalFormatting>
  <conditionalFormatting sqref="M23:N23">
    <cfRule type="containsText" dxfId="117" priority="113" operator="containsText" text="DEAD">
      <formula>NOT(ISERROR(SEARCH("DEAD",M23)))</formula>
    </cfRule>
    <cfRule type="containsText" dxfId="116" priority="114" operator="containsText" text="HOLD">
      <formula>NOT(ISERROR(SEARCH("HOLD",M23)))</formula>
    </cfRule>
  </conditionalFormatting>
  <conditionalFormatting sqref="N31:O31 Q31 N32:N35">
    <cfRule type="cellIs" dxfId="115" priority="112" operator="equal">
      <formula>"TBD"</formula>
    </cfRule>
  </conditionalFormatting>
  <conditionalFormatting sqref="N31:O31 Q31 N32:N35">
    <cfRule type="containsText" dxfId="114" priority="110" operator="containsText" text="DEAD">
      <formula>NOT(ISERROR(SEARCH("DEAD",N31)))</formula>
    </cfRule>
    <cfRule type="containsText" dxfId="113" priority="111" operator="containsText" text="HOLD">
      <formula>NOT(ISERROR(SEARCH("HOLD",N31)))</formula>
    </cfRule>
  </conditionalFormatting>
  <conditionalFormatting sqref="W129 W136:W137 W127 W9 W4:W6 W38:W39 W11:W21 W42:W49 W101:W106 W25:W35 W69:Z69 W61:W76 W79:W82 W53:W58 W84:W93 W155 W143:W148">
    <cfRule type="cellIs" dxfId="112" priority="109" operator="equal">
      <formula>0</formula>
    </cfRule>
  </conditionalFormatting>
  <conditionalFormatting sqref="W42:W49">
    <cfRule type="cellIs" dxfId="111" priority="108" operator="equal">
      <formula>0</formula>
    </cfRule>
  </conditionalFormatting>
  <conditionalFormatting sqref="W82">
    <cfRule type="cellIs" dxfId="110" priority="107" operator="equal">
      <formula>0</formula>
    </cfRule>
  </conditionalFormatting>
  <conditionalFormatting sqref="S126:S127">
    <cfRule type="cellIs" dxfId="109" priority="105" operator="equal">
      <formula>"no"</formula>
    </cfRule>
    <cfRule type="cellIs" dxfId="108" priority="106" operator="equal">
      <formula>"yes"</formula>
    </cfRule>
  </conditionalFormatting>
  <conditionalFormatting sqref="G126:G127 M127:R127">
    <cfRule type="cellIs" dxfId="107" priority="104" operator="equal">
      <formula>"TBD"</formula>
    </cfRule>
  </conditionalFormatting>
  <conditionalFormatting sqref="G126:G127 M127:R127">
    <cfRule type="containsText" dxfId="106" priority="102" operator="containsText" text="DEAD">
      <formula>NOT(ISERROR(SEARCH("DEAD",G126)))</formula>
    </cfRule>
    <cfRule type="containsText" dxfId="105" priority="103" operator="containsText" text="HOLD">
      <formula>NOT(ISERROR(SEARCH("HOLD",G126)))</formula>
    </cfRule>
  </conditionalFormatting>
  <conditionalFormatting sqref="AA126:AA127">
    <cfRule type="cellIs" dxfId="104" priority="101" operator="equal">
      <formula>0</formula>
    </cfRule>
  </conditionalFormatting>
  <conditionalFormatting sqref="M16:M20 O16:O20">
    <cfRule type="cellIs" dxfId="103" priority="100" operator="equal">
      <formula>"TBD"</formula>
    </cfRule>
  </conditionalFormatting>
  <conditionalFormatting sqref="M16:M20 O16:O20">
    <cfRule type="containsText" dxfId="102" priority="98" operator="containsText" text="DEAD">
      <formula>NOT(ISERROR(SEARCH("DEAD",M16)))</formula>
    </cfRule>
    <cfRule type="containsText" dxfId="101" priority="99" operator="containsText" text="HOLD">
      <formula>NOT(ISERROR(SEARCH("HOLD",M16)))</formula>
    </cfRule>
  </conditionalFormatting>
  <conditionalFormatting sqref="M127:R127">
    <cfRule type="cellIs" dxfId="100" priority="97" operator="equal">
      <formula>"SOLD"</formula>
    </cfRule>
  </conditionalFormatting>
  <conditionalFormatting sqref="V149 V130 V122:V127 V152:V155">
    <cfRule type="cellIs" dxfId="99" priority="96" operator="equal">
      <formula>"TBD"</formula>
    </cfRule>
  </conditionalFormatting>
  <conditionalFormatting sqref="V152:V155 V122:V149">
    <cfRule type="containsText" dxfId="98" priority="94" operator="containsText" text="DEAD">
      <formula>NOT(ISERROR(SEARCH("DEAD",V122)))</formula>
    </cfRule>
    <cfRule type="containsText" dxfId="97" priority="95" operator="containsText" text="HOLD">
      <formula>NOT(ISERROR(SEARCH("HOLD",V122)))</formula>
    </cfRule>
  </conditionalFormatting>
  <conditionalFormatting sqref="V122:V123 V125:V130">
    <cfRule type="cellIs" dxfId="96" priority="93" operator="equal">
      <formula>"SOLD"</formula>
    </cfRule>
  </conditionalFormatting>
  <conditionalFormatting sqref="V124">
    <cfRule type="cellIs" dxfId="95" priority="92" operator="equal">
      <formula>"SOLD"</formula>
    </cfRule>
  </conditionalFormatting>
  <conditionalFormatting sqref="V153:V155">
    <cfRule type="cellIs" dxfId="94" priority="91" operator="equal">
      <formula>"TBD"</formula>
    </cfRule>
  </conditionalFormatting>
  <conditionalFormatting sqref="V134">
    <cfRule type="cellIs" dxfId="93" priority="90" operator="equal">
      <formula>"TBD"</formula>
    </cfRule>
  </conditionalFormatting>
  <conditionalFormatting sqref="V134">
    <cfRule type="containsText" dxfId="92" priority="88" operator="containsText" text="DEAD">
      <formula>NOT(ISERROR(SEARCH("DEAD",V134)))</formula>
    </cfRule>
    <cfRule type="containsText" dxfId="91" priority="89" operator="containsText" text="HOLD">
      <formula>NOT(ISERROR(SEARCH("HOLD",V134)))</formula>
    </cfRule>
  </conditionalFormatting>
  <conditionalFormatting sqref="Q3:Q6">
    <cfRule type="cellIs" dxfId="90" priority="87" operator="equal">
      <formula>"TBD"</formula>
    </cfRule>
  </conditionalFormatting>
  <conditionalFormatting sqref="L54">
    <cfRule type="cellIs" dxfId="89" priority="86" operator="equal">
      <formula>"TBD"</formula>
    </cfRule>
  </conditionalFormatting>
  <conditionalFormatting sqref="L13">
    <cfRule type="cellIs" dxfId="88" priority="85" operator="equal">
      <formula>"TBD"</formula>
    </cfRule>
  </conditionalFormatting>
  <conditionalFormatting sqref="L14">
    <cfRule type="cellIs" dxfId="87" priority="84" operator="equal">
      <formula>"TBD"</formula>
    </cfRule>
  </conditionalFormatting>
  <conditionalFormatting sqref="L16:L20">
    <cfRule type="cellIs" dxfId="86" priority="83" operator="equal">
      <formula>"TBD"</formula>
    </cfRule>
  </conditionalFormatting>
  <conditionalFormatting sqref="L16:L20">
    <cfRule type="containsText" dxfId="85" priority="81" operator="containsText" text="DEAD">
      <formula>NOT(ISERROR(SEARCH("DEAD",L16)))</formula>
    </cfRule>
    <cfRule type="containsText" dxfId="84" priority="82" operator="containsText" text="HOLD">
      <formula>NOT(ISERROR(SEARCH("HOLD",L16)))</formula>
    </cfRule>
  </conditionalFormatting>
  <conditionalFormatting sqref="N54">
    <cfRule type="cellIs" dxfId="83" priority="80" operator="equal">
      <formula>"TBD"</formula>
    </cfRule>
  </conditionalFormatting>
  <conditionalFormatting sqref="N13">
    <cfRule type="cellIs" dxfId="82" priority="79" operator="equal">
      <formula>"TBD"</formula>
    </cfRule>
  </conditionalFormatting>
  <conditionalFormatting sqref="N14">
    <cfRule type="cellIs" dxfId="81" priority="78" operator="equal">
      <formula>"TBD"</formula>
    </cfRule>
  </conditionalFormatting>
  <conditionalFormatting sqref="N16:N20">
    <cfRule type="cellIs" dxfId="80" priority="77" operator="equal">
      <formula>"TBD"</formula>
    </cfRule>
  </conditionalFormatting>
  <conditionalFormatting sqref="N16:N20">
    <cfRule type="containsText" dxfId="79" priority="75" operator="containsText" text="DEAD">
      <formula>NOT(ISERROR(SEARCH("DEAD",N16)))</formula>
    </cfRule>
    <cfRule type="containsText" dxfId="78" priority="76" operator="containsText" text="HOLD">
      <formula>NOT(ISERROR(SEARCH("HOLD",N16)))</formula>
    </cfRule>
  </conditionalFormatting>
  <conditionalFormatting sqref="N5">
    <cfRule type="cellIs" dxfId="77" priority="74" operator="equal">
      <formula>"TBD"</formula>
    </cfRule>
  </conditionalFormatting>
  <conditionalFormatting sqref="N154:N155">
    <cfRule type="cellIs" dxfId="76" priority="73" operator="equal">
      <formula>"TBD"</formula>
    </cfRule>
  </conditionalFormatting>
  <conditionalFormatting sqref="N5">
    <cfRule type="containsText" dxfId="75" priority="71" operator="containsText" text="DEAD">
      <formula>NOT(ISERROR(SEARCH("DEAD",N5)))</formula>
    </cfRule>
    <cfRule type="containsText" dxfId="74" priority="72" operator="containsText" text="HOLD">
      <formula>NOT(ISERROR(SEARCH("HOLD",N5)))</formula>
    </cfRule>
  </conditionalFormatting>
  <conditionalFormatting sqref="I145 I41 I150:I151 K150:O151 X150:Z151 K144:K145 I23 I43:I50 K101:K105 I13:I20 I148 K148 L31:M35 K106:M106 I29:I37 I25 K154:K155 I154:I155 Q150:R151 K3:K82 K84:K93 K107 I52:I82 I84:I93 I106:I107">
    <cfRule type="cellIs" dxfId="73" priority="70" operator="equal">
      <formula>"No"</formula>
    </cfRule>
  </conditionalFormatting>
  <conditionalFormatting sqref="S67">
    <cfRule type="cellIs" dxfId="72" priority="68" operator="equal">
      <formula>"no"</formula>
    </cfRule>
    <cfRule type="cellIs" dxfId="71" priority="69" operator="equal">
      <formula>"yes"</formula>
    </cfRule>
  </conditionalFormatting>
  <conditionalFormatting sqref="AS67">
    <cfRule type="cellIs" dxfId="70" priority="66" operator="lessThan">
      <formula>0</formula>
    </cfRule>
    <cfRule type="cellIs" dxfId="69" priority="67" operator="greaterThan">
      <formula>0</formula>
    </cfRule>
  </conditionalFormatting>
  <conditionalFormatting sqref="I67">
    <cfRule type="cellIs" dxfId="68" priority="65" operator="equal">
      <formula>"No"</formula>
    </cfRule>
  </conditionalFormatting>
  <conditionalFormatting sqref="AQ132:AQ155 AQ33 AQ4:AQ11">
    <cfRule type="cellIs" dxfId="67" priority="167" operator="greaterThan">
      <formula>$AA$77</formula>
    </cfRule>
    <cfRule type="cellIs" dxfId="66" priority="168" operator="lessThan">
      <formula>$AA$77</formula>
    </cfRule>
    <cfRule type="cellIs" dxfId="65" priority="169" operator="equal">
      <formula>$AA$77</formula>
    </cfRule>
    <cfRule type="cellIs" dxfId="64" priority="170" operator="equal">
      <formula>#REF!</formula>
    </cfRule>
  </conditionalFormatting>
  <conditionalFormatting sqref="I21:I22">
    <cfRule type="cellIs" dxfId="63" priority="63" operator="equal">
      <formula>"no"</formula>
    </cfRule>
    <cfRule type="cellIs" dxfId="62" priority="64" operator="equal">
      <formula>"yes"</formula>
    </cfRule>
  </conditionalFormatting>
  <conditionalFormatting sqref="I21:I22">
    <cfRule type="cellIs" dxfId="61" priority="61" operator="equal">
      <formula>"no"</formula>
    </cfRule>
    <cfRule type="cellIs" dxfId="60" priority="62" operator="equal">
      <formula>"yes"</formula>
    </cfRule>
  </conditionalFormatting>
  <conditionalFormatting sqref="I21:I22">
    <cfRule type="cellIs" dxfId="59" priority="59" operator="equal">
      <formula>"no"</formula>
    </cfRule>
    <cfRule type="cellIs" dxfId="58" priority="60" operator="equal">
      <formula>"yes"</formula>
    </cfRule>
  </conditionalFormatting>
  <conditionalFormatting sqref="I38:I40">
    <cfRule type="cellIs" dxfId="57" priority="57" operator="equal">
      <formula>"no"</formula>
    </cfRule>
    <cfRule type="cellIs" dxfId="56" priority="58" operator="equal">
      <formula>"yes"</formula>
    </cfRule>
  </conditionalFormatting>
  <conditionalFormatting sqref="I38:I40">
    <cfRule type="cellIs" dxfId="55" priority="55" operator="equal">
      <formula>"no"</formula>
    </cfRule>
    <cfRule type="cellIs" dxfId="54" priority="56" operator="equal">
      <formula>"yes"</formula>
    </cfRule>
  </conditionalFormatting>
  <conditionalFormatting sqref="I38:I40">
    <cfRule type="cellIs" dxfId="53" priority="53" operator="equal">
      <formula>"no"</formula>
    </cfRule>
    <cfRule type="cellIs" dxfId="52" priority="54" operator="equal">
      <formula>"yes"</formula>
    </cfRule>
  </conditionalFormatting>
  <conditionalFormatting sqref="AQ34">
    <cfRule type="cellIs" dxfId="51" priority="50" operator="lessThan">
      <formula>AA34</formula>
    </cfRule>
    <cfRule type="cellIs" dxfId="50" priority="51" operator="greaterThan">
      <formula>AA34</formula>
    </cfRule>
    <cfRule type="cellIs" dxfId="49" priority="52" operator="equal">
      <formula>AA34</formula>
    </cfRule>
  </conditionalFormatting>
  <conditionalFormatting sqref="S34">
    <cfRule type="cellIs" dxfId="48" priority="48" operator="equal">
      <formula>"no"</formula>
    </cfRule>
    <cfRule type="cellIs" dxfId="47" priority="49" operator="equal">
      <formula>"yes"</formula>
    </cfRule>
  </conditionalFormatting>
  <conditionalFormatting sqref="AA34">
    <cfRule type="cellIs" dxfId="46" priority="47" operator="equal">
      <formula>0</formula>
    </cfRule>
  </conditionalFormatting>
  <conditionalFormatting sqref="R34 H34:I34 E34 N34:O34">
    <cfRule type="cellIs" dxfId="45" priority="46" operator="equal">
      <formula>"TBD"</formula>
    </cfRule>
  </conditionalFormatting>
  <conditionalFormatting sqref="AS34">
    <cfRule type="cellIs" dxfId="44" priority="44" operator="lessThan">
      <formula>0</formula>
    </cfRule>
    <cfRule type="cellIs" dxfId="43" priority="45" operator="greaterThan">
      <formula>0</formula>
    </cfRule>
  </conditionalFormatting>
  <conditionalFormatting sqref="R34 H34:I34 E34 N34:O34">
    <cfRule type="containsText" dxfId="42" priority="42" operator="containsText" text="DEAD">
      <formula>NOT(ISERROR(SEARCH("DEAD",E34)))</formula>
    </cfRule>
    <cfRule type="containsText" dxfId="41" priority="43" operator="containsText" text="HOLD">
      <formula>NOT(ISERROR(SEARCH("HOLD",E34)))</formula>
    </cfRule>
  </conditionalFormatting>
  <conditionalFormatting sqref="W34">
    <cfRule type="cellIs" dxfId="40" priority="41" operator="equal">
      <formula>0</formula>
    </cfRule>
  </conditionalFormatting>
  <conditionalFormatting sqref="I34">
    <cfRule type="cellIs" dxfId="39" priority="40" operator="equal">
      <formula>"No"</formula>
    </cfRule>
  </conditionalFormatting>
  <conditionalFormatting sqref="N31:O33 K25:P25 N34:N35">
    <cfRule type="cellIs" dxfId="38" priority="39" operator="equal">
      <formula>"TBD"</formula>
    </cfRule>
  </conditionalFormatting>
  <conditionalFormatting sqref="N31:O33 K25:P25 N34:N35">
    <cfRule type="containsText" dxfId="37" priority="37" operator="containsText" text="DEAD">
      <formula>NOT(ISERROR(SEARCH("DEAD",K25)))</formula>
    </cfRule>
    <cfRule type="containsText" dxfId="36" priority="38" operator="containsText" text="HOLD">
      <formula>NOT(ISERROR(SEARCH("HOLD",K25)))</formula>
    </cfRule>
  </conditionalFormatting>
  <conditionalFormatting sqref="I87:I93">
    <cfRule type="cellIs" dxfId="35" priority="36" operator="equal">
      <formula>"TBD"</formula>
    </cfRule>
  </conditionalFormatting>
  <conditionalFormatting sqref="I87:I93">
    <cfRule type="containsText" dxfId="34" priority="34" operator="containsText" text="DEAD">
      <formula>NOT(ISERROR(SEARCH("DEAD",I87)))</formula>
    </cfRule>
    <cfRule type="containsText" dxfId="33" priority="35" operator="containsText" text="HOLD">
      <formula>NOT(ISERROR(SEARCH("HOLD",I87)))</formula>
    </cfRule>
  </conditionalFormatting>
  <conditionalFormatting sqref="I144">
    <cfRule type="cellIs" dxfId="32" priority="32" operator="equal">
      <formula>"no"</formula>
    </cfRule>
    <cfRule type="cellIs" dxfId="31" priority="33" operator="equal">
      <formula>"yes"</formula>
    </cfRule>
  </conditionalFormatting>
  <conditionalFormatting sqref="I144">
    <cfRule type="cellIs" dxfId="30" priority="30" operator="equal">
      <formula>"no"</formula>
    </cfRule>
    <cfRule type="cellIs" dxfId="29" priority="31" operator="equal">
      <formula>"yes"</formula>
    </cfRule>
  </conditionalFormatting>
  <conditionalFormatting sqref="I144">
    <cfRule type="cellIs" dxfId="28" priority="28" operator="equal">
      <formula>"no"</formula>
    </cfRule>
    <cfRule type="cellIs" dxfId="27" priority="29" operator="equal">
      <formula>"yes"</formula>
    </cfRule>
  </conditionalFormatting>
  <conditionalFormatting sqref="I42:I51">
    <cfRule type="cellIs" dxfId="26" priority="26" operator="equal">
      <formula>"no"</formula>
    </cfRule>
    <cfRule type="cellIs" dxfId="25" priority="27" operator="equal">
      <formula>"yes"</formula>
    </cfRule>
  </conditionalFormatting>
  <conditionalFormatting sqref="I42:I51">
    <cfRule type="cellIs" dxfId="24" priority="24" operator="equal">
      <formula>"no"</formula>
    </cfRule>
    <cfRule type="cellIs" dxfId="23" priority="25" operator="equal">
      <formula>"yes"</formula>
    </cfRule>
  </conditionalFormatting>
  <conditionalFormatting sqref="I42:I51">
    <cfRule type="cellIs" dxfId="22" priority="22" operator="equal">
      <formula>"no"</formula>
    </cfRule>
    <cfRule type="cellIs" dxfId="21" priority="23" operator="equal">
      <formula>"yes"</formula>
    </cfRule>
  </conditionalFormatting>
  <conditionalFormatting sqref="I66">
    <cfRule type="cellIs" dxfId="20" priority="20" operator="equal">
      <formula>"no"</formula>
    </cfRule>
    <cfRule type="cellIs" dxfId="19" priority="21" operator="equal">
      <formula>"yes"</formula>
    </cfRule>
  </conditionalFormatting>
  <conditionalFormatting sqref="O16:O20">
    <cfRule type="cellIs" dxfId="18" priority="19" operator="equal">
      <formula>"TBD"</formula>
    </cfRule>
  </conditionalFormatting>
  <conditionalFormatting sqref="O63:P63">
    <cfRule type="cellIs" dxfId="17" priority="18" operator="equal">
      <formula>"TBD"</formula>
    </cfRule>
  </conditionalFormatting>
  <conditionalFormatting sqref="O63:P63">
    <cfRule type="containsText" dxfId="16" priority="16" operator="containsText" text="DEAD">
      <formula>NOT(ISERROR(SEARCH("DEAD",O63)))</formula>
    </cfRule>
    <cfRule type="containsText" dxfId="15" priority="17" operator="containsText" text="HOLD">
      <formula>NOT(ISERROR(SEARCH("HOLD",O63)))</formula>
    </cfRule>
  </conditionalFormatting>
  <conditionalFormatting sqref="E94:F120 E122:F1048576">
    <cfRule type="cellIs" dxfId="14" priority="15" operator="equal">
      <formula>"TBD"</formula>
    </cfRule>
  </conditionalFormatting>
  <conditionalFormatting sqref="E94:F120 E122:F1048576">
    <cfRule type="containsText" dxfId="13" priority="13" operator="containsText" text="DEAD">
      <formula>NOT(ISERROR(SEARCH("DEAD",E94)))</formula>
    </cfRule>
    <cfRule type="containsText" dxfId="12" priority="14" operator="containsText" text="HOLD">
      <formula>NOT(ISERROR(SEARCH("HOLD",E94)))</formula>
    </cfRule>
  </conditionalFormatting>
  <conditionalFormatting sqref="E32:E33">
    <cfRule type="cellIs" dxfId="11" priority="12" operator="equal">
      <formula>"TBD"</formula>
    </cfRule>
  </conditionalFormatting>
  <conditionalFormatting sqref="E32:E33">
    <cfRule type="containsText" dxfId="10" priority="10" operator="containsText" text="DEAD">
      <formula>NOT(ISERROR(SEARCH("DEAD",E32)))</formula>
    </cfRule>
    <cfRule type="containsText" dxfId="9" priority="11" operator="containsText" text="HOLD">
      <formula>NOT(ISERROR(SEARCH("HOLD",E32)))</formula>
    </cfRule>
  </conditionalFormatting>
  <conditionalFormatting sqref="I1:I82 I84:I1048576">
    <cfRule type="cellIs" dxfId="8" priority="9" operator="equal">
      <formula>"yes"</formula>
    </cfRule>
  </conditionalFormatting>
  <conditionalFormatting sqref="P38:P39 P42:P50 P4:P21 P24:P35 P53:P58 P61:P76 P79:P82 P84:P93 P101:P107">
    <cfRule type="cellIs" dxfId="7" priority="8" operator="lessThan">
      <formula>8</formula>
    </cfRule>
  </conditionalFormatting>
  <conditionalFormatting sqref="P38:P39">
    <cfRule type="cellIs" dxfId="6" priority="7" operator="equal">
      <formula>"No"</formula>
    </cfRule>
  </conditionalFormatting>
  <conditionalFormatting sqref="AB100 AS10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S100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S100">
    <cfRule type="cellIs" dxfId="1" priority="1" operator="equal">
      <formula>"no"</formula>
    </cfRule>
    <cfRule type="cellIs" dxfId="0" priority="2" operator="equal">
      <formula>"yes"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21FD1-4F97-4FB7-8F75-F9FC69D254E7}">
  <dimension ref="A1:AJ91"/>
  <sheetViews>
    <sheetView zoomScale="85" zoomScaleNormal="85" workbookViewId="0">
      <pane xSplit="2" ySplit="2" topLeftCell="T21" activePane="bottomRight" state="frozen"/>
      <selection pane="topRight" activeCell="B1" sqref="B1"/>
      <selection pane="bottomLeft" activeCell="A3" sqref="A3"/>
      <selection pane="bottomRight" activeCell="Y53" sqref="Y53"/>
    </sheetView>
  </sheetViews>
  <sheetFormatPr defaultRowHeight="15" x14ac:dyDescent="0.25"/>
  <cols>
    <col min="1" max="1" width="12.42578125" customWidth="1"/>
    <col min="2" max="2" width="43.5703125" bestFit="1" customWidth="1"/>
    <col min="3" max="3" width="4.42578125" style="74" customWidth="1"/>
    <col min="4" max="5" width="11.5703125" style="74" customWidth="1"/>
    <col min="6" max="6" width="13.5703125" style="74" customWidth="1"/>
    <col min="7" max="7" width="12.5703125" style="74" customWidth="1"/>
    <col min="8" max="8" width="11.5703125" style="38" customWidth="1"/>
    <col min="9" max="9" width="17.42578125" style="78" customWidth="1"/>
    <col min="10" max="14" width="15.5703125" style="78" hidden="1" customWidth="1"/>
    <col min="15" max="15" width="4" style="79" customWidth="1"/>
    <col min="16" max="16" width="14.5703125" style="78" bestFit="1" customWidth="1"/>
    <col min="17" max="17" width="3.42578125" style="79" customWidth="1"/>
    <col min="18" max="18" width="15.42578125" style="130" customWidth="1"/>
    <col min="19" max="20" width="12.5703125" style="78" customWidth="1"/>
    <col min="21" max="23" width="12.5703125" style="81" customWidth="1"/>
    <col min="24" max="29" width="12.5703125" style="78" customWidth="1"/>
    <col min="30" max="30" width="4" style="79" customWidth="1"/>
    <col min="31" max="32" width="14.42578125" style="78" customWidth="1"/>
    <col min="33" max="33" width="3.42578125" style="79" customWidth="1"/>
    <col min="34" max="34" width="14.42578125" style="78" customWidth="1"/>
    <col min="35" max="35" width="3.42578125" style="79" customWidth="1"/>
    <col min="36" max="36" width="16" customWidth="1"/>
  </cols>
  <sheetData>
    <row r="1" spans="1:36" s="36" customFormat="1" x14ac:dyDescent="0.25">
      <c r="C1" s="37"/>
      <c r="D1" s="37"/>
      <c r="E1" s="37"/>
      <c r="F1" s="37"/>
      <c r="G1" s="37"/>
      <c r="H1" s="38"/>
      <c r="I1" s="39"/>
      <c r="J1" s="39"/>
      <c r="K1" s="39"/>
      <c r="L1" s="39"/>
      <c r="M1" s="39"/>
      <c r="N1" s="39"/>
      <c r="O1" s="40"/>
      <c r="P1" s="41">
        <v>2020</v>
      </c>
      <c r="Q1" s="42"/>
      <c r="R1" s="526">
        <v>2021</v>
      </c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8"/>
      <c r="AD1" s="40"/>
      <c r="AE1" s="41">
        <v>2022</v>
      </c>
      <c r="AF1" s="43">
        <v>2023</v>
      </c>
      <c r="AG1" s="42"/>
      <c r="AH1" s="41"/>
      <c r="AI1" s="42"/>
    </row>
    <row r="2" spans="1:36" s="36" customFormat="1" ht="31.5" x14ac:dyDescent="0.25">
      <c r="A2" s="62"/>
      <c r="B2" s="63"/>
      <c r="C2" s="44" t="s">
        <v>342</v>
      </c>
      <c r="D2" s="44" t="s">
        <v>343</v>
      </c>
      <c r="E2" s="44" t="s">
        <v>344</v>
      </c>
      <c r="F2" s="44" t="s">
        <v>345</v>
      </c>
      <c r="G2" s="44" t="s">
        <v>346</v>
      </c>
      <c r="H2" s="45" t="s">
        <v>347</v>
      </c>
      <c r="I2" s="46" t="s">
        <v>348</v>
      </c>
      <c r="J2" s="46" t="s">
        <v>349</v>
      </c>
      <c r="K2" s="82" t="s">
        <v>350</v>
      </c>
      <c r="L2" s="82" t="s">
        <v>351</v>
      </c>
      <c r="M2" s="82" t="s">
        <v>350</v>
      </c>
      <c r="N2" s="82"/>
      <c r="O2" s="47"/>
      <c r="P2" s="46" t="s">
        <v>352</v>
      </c>
      <c r="Q2" s="47"/>
      <c r="R2" s="129" t="s">
        <v>353</v>
      </c>
      <c r="S2" s="46" t="s">
        <v>354</v>
      </c>
      <c r="T2" s="46" t="s">
        <v>355</v>
      </c>
      <c r="U2" s="48" t="s">
        <v>356</v>
      </c>
      <c r="V2" s="48" t="s">
        <v>357</v>
      </c>
      <c r="W2" s="46" t="s">
        <v>358</v>
      </c>
      <c r="X2" s="46" t="s">
        <v>359</v>
      </c>
      <c r="Y2" s="48" t="s">
        <v>360</v>
      </c>
      <c r="Z2" s="46" t="s">
        <v>361</v>
      </c>
      <c r="AA2" s="46" t="s">
        <v>362</v>
      </c>
      <c r="AB2" s="48" t="s">
        <v>363</v>
      </c>
      <c r="AC2" s="46" t="s">
        <v>364</v>
      </c>
      <c r="AD2" s="47"/>
      <c r="AE2" s="46" t="s">
        <v>352</v>
      </c>
      <c r="AF2" s="48" t="s">
        <v>352</v>
      </c>
      <c r="AG2" s="47"/>
      <c r="AH2" s="46" t="s">
        <v>365</v>
      </c>
      <c r="AI2" s="47"/>
      <c r="AJ2" s="49" t="s">
        <v>366</v>
      </c>
    </row>
    <row r="3" spans="1:36" s="36" customFormat="1" ht="15.75" x14ac:dyDescent="0.25">
      <c r="A3" s="106" t="s">
        <v>367</v>
      </c>
      <c r="B3" s="107"/>
      <c r="C3" s="101" t="s">
        <v>368</v>
      </c>
      <c r="D3" s="102"/>
      <c r="E3" s="102"/>
      <c r="F3" s="102"/>
      <c r="G3" s="102"/>
      <c r="H3" s="84"/>
      <c r="I3" s="103"/>
      <c r="J3" s="103"/>
      <c r="K3" s="103"/>
      <c r="L3" s="103"/>
      <c r="M3" s="103"/>
      <c r="N3" s="103"/>
      <c r="O3" s="47"/>
      <c r="P3" s="103"/>
      <c r="Q3" s="47"/>
      <c r="R3" s="85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47"/>
      <c r="AE3" s="103"/>
      <c r="AF3" s="103"/>
      <c r="AG3" s="47"/>
      <c r="AH3" s="103"/>
      <c r="AI3" s="51"/>
    </row>
    <row r="4" spans="1:36" s="36" customFormat="1" ht="15.75" x14ac:dyDescent="0.25">
      <c r="A4" s="104" t="s">
        <v>288</v>
      </c>
      <c r="B4" s="105" t="s">
        <v>289</v>
      </c>
      <c r="C4" s="52" t="s">
        <v>368</v>
      </c>
      <c r="D4" s="52" t="s">
        <v>369</v>
      </c>
      <c r="E4" s="52" t="s">
        <v>370</v>
      </c>
      <c r="F4" s="87" t="e">
        <f>#REF!</f>
        <v>#REF!</v>
      </c>
      <c r="G4" s="87" t="e">
        <f>#REF!</f>
        <v>#REF!</v>
      </c>
      <c r="H4" s="88" t="e">
        <f t="shared" ref="H4:H16" si="0">((G4-F4)/7)/4.3</f>
        <v>#REF!</v>
      </c>
      <c r="I4" s="58" t="e">
        <f>#REF!</f>
        <v>#REF!</v>
      </c>
      <c r="J4" s="53"/>
      <c r="K4" s="53"/>
      <c r="L4" s="53"/>
      <c r="M4" s="53"/>
      <c r="N4" s="53"/>
      <c r="O4" s="47"/>
      <c r="P4" s="54">
        <v>730841</v>
      </c>
      <c r="Q4" s="47"/>
      <c r="R4" s="54">
        <v>54144</v>
      </c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47"/>
      <c r="AE4" s="53"/>
      <c r="AF4" s="53"/>
      <c r="AG4" s="47"/>
      <c r="AH4" s="53">
        <f>SUM(P4:AG4)</f>
        <v>784985</v>
      </c>
      <c r="AI4" s="51"/>
      <c r="AJ4" s="55" t="e">
        <f t="shared" ref="AJ4:AJ17" si="1">I4-AH4</f>
        <v>#REF!</v>
      </c>
    </row>
    <row r="5" spans="1:36" s="36" customFormat="1" ht="15.75" x14ac:dyDescent="0.25">
      <c r="A5" s="56" t="s">
        <v>292</v>
      </c>
      <c r="B5" s="57" t="s">
        <v>293</v>
      </c>
      <c r="C5" s="52" t="s">
        <v>368</v>
      </c>
      <c r="D5" s="52" t="s">
        <v>369</v>
      </c>
      <c r="E5" s="52" t="s">
        <v>370</v>
      </c>
      <c r="F5" s="87" t="e">
        <f>#REF!</f>
        <v>#REF!</v>
      </c>
      <c r="G5" s="87" t="e">
        <f>#REF!</f>
        <v>#REF!</v>
      </c>
      <c r="H5" s="88" t="e">
        <f t="shared" si="0"/>
        <v>#REF!</v>
      </c>
      <c r="I5" s="58" t="e">
        <f>#REF!</f>
        <v>#REF!</v>
      </c>
      <c r="J5" s="53"/>
      <c r="K5" s="53"/>
      <c r="L5" s="53"/>
      <c r="M5" s="53"/>
      <c r="N5" s="53"/>
      <c r="O5" s="47"/>
      <c r="P5" s="54">
        <v>193860</v>
      </c>
      <c r="Q5" s="47"/>
      <c r="R5" s="54">
        <v>56123</v>
      </c>
      <c r="S5" s="54">
        <v>47330</v>
      </c>
      <c r="T5" s="53"/>
      <c r="U5" s="53"/>
      <c r="V5" s="53"/>
      <c r="W5" s="53"/>
      <c r="X5" s="53"/>
      <c r="Y5" s="53"/>
      <c r="Z5" s="53"/>
      <c r="AA5" s="53"/>
      <c r="AB5" s="53"/>
      <c r="AC5" s="53"/>
      <c r="AD5" s="47"/>
      <c r="AE5" s="53"/>
      <c r="AF5" s="53"/>
      <c r="AG5" s="47"/>
      <c r="AH5" s="53">
        <f t="shared" ref="AH5:AH13" si="2">SUM(P5:AG5)</f>
        <v>297313</v>
      </c>
      <c r="AI5" s="51"/>
      <c r="AJ5" s="55" t="e">
        <f t="shared" si="1"/>
        <v>#REF!</v>
      </c>
    </row>
    <row r="6" spans="1:36" s="36" customFormat="1" ht="15.75" x14ac:dyDescent="0.25">
      <c r="A6" s="56" t="s">
        <v>295</v>
      </c>
      <c r="B6" s="57" t="s">
        <v>296</v>
      </c>
      <c r="C6" s="52" t="s">
        <v>368</v>
      </c>
      <c r="D6" s="52" t="s">
        <v>369</v>
      </c>
      <c r="E6" s="52" t="s">
        <v>370</v>
      </c>
      <c r="F6" s="87" t="e">
        <f>#REF!</f>
        <v>#REF!</v>
      </c>
      <c r="G6" s="87" t="e">
        <f>#REF!</f>
        <v>#REF!</v>
      </c>
      <c r="H6" s="88" t="e">
        <f t="shared" si="0"/>
        <v>#REF!</v>
      </c>
      <c r="I6" s="58" t="e">
        <f>#REF!</f>
        <v>#REF!</v>
      </c>
      <c r="J6" s="53"/>
      <c r="K6" s="53"/>
      <c r="L6" s="53"/>
      <c r="M6" s="53"/>
      <c r="N6" s="53"/>
      <c r="O6" s="47"/>
      <c r="P6" s="54">
        <v>185068</v>
      </c>
      <c r="Q6" s="47"/>
      <c r="R6" s="54">
        <v>37449</v>
      </c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47"/>
      <c r="AE6" s="53"/>
      <c r="AF6" s="53"/>
      <c r="AG6" s="47"/>
      <c r="AH6" s="53">
        <f t="shared" si="2"/>
        <v>222517</v>
      </c>
      <c r="AI6" s="51"/>
      <c r="AJ6" s="55" t="e">
        <f t="shared" si="1"/>
        <v>#REF!</v>
      </c>
    </row>
    <row r="7" spans="1:36" s="36" customFormat="1" ht="15.75" x14ac:dyDescent="0.25">
      <c r="A7" s="34" t="s">
        <v>166</v>
      </c>
      <c r="B7" s="35" t="s">
        <v>168</v>
      </c>
      <c r="C7" s="52" t="s">
        <v>368</v>
      </c>
      <c r="D7" s="52" t="s">
        <v>371</v>
      </c>
      <c r="E7" s="52" t="s">
        <v>320</v>
      </c>
      <c r="F7" s="87" t="e">
        <f>#REF!</f>
        <v>#REF!</v>
      </c>
      <c r="G7" s="87" t="e">
        <f>#REF!</f>
        <v>#REF!</v>
      </c>
      <c r="H7" s="88" t="e">
        <f t="shared" si="0"/>
        <v>#REF!</v>
      </c>
      <c r="I7" s="58" t="e">
        <f>#REF!</f>
        <v>#REF!</v>
      </c>
      <c r="J7" s="53"/>
      <c r="K7" s="53"/>
      <c r="L7" s="53"/>
      <c r="M7" s="53"/>
      <c r="N7" s="53"/>
      <c r="O7" s="47"/>
      <c r="P7" s="53">
        <v>0</v>
      </c>
      <c r="Q7" s="47"/>
      <c r="R7" s="58"/>
      <c r="S7" s="58"/>
      <c r="T7" s="54">
        <v>75000</v>
      </c>
      <c r="U7" s="54">
        <v>100000</v>
      </c>
      <c r="V7" s="54">
        <f t="shared" ref="V7:AA7" si="3">1000000/8</f>
        <v>125000</v>
      </c>
      <c r="W7" s="54">
        <f t="shared" si="3"/>
        <v>125000</v>
      </c>
      <c r="X7" s="54">
        <f t="shared" si="3"/>
        <v>125000</v>
      </c>
      <c r="Y7" s="54">
        <f t="shared" si="3"/>
        <v>125000</v>
      </c>
      <c r="Z7" s="54">
        <f t="shared" si="3"/>
        <v>125000</v>
      </c>
      <c r="AA7" s="54">
        <f t="shared" si="3"/>
        <v>125000</v>
      </c>
      <c r="AB7" s="54">
        <v>75000</v>
      </c>
      <c r="AC7" s="53"/>
      <c r="AD7" s="47"/>
      <c r="AE7" s="53"/>
      <c r="AF7" s="53"/>
      <c r="AG7" s="47"/>
      <c r="AH7" s="53">
        <f t="shared" si="2"/>
        <v>1000000</v>
      </c>
      <c r="AI7" s="51"/>
      <c r="AJ7" s="55" t="e">
        <f t="shared" si="1"/>
        <v>#REF!</v>
      </c>
    </row>
    <row r="8" spans="1:36" s="36" customFormat="1" ht="15.75" x14ac:dyDescent="0.25">
      <c r="A8" s="56" t="s">
        <v>23</v>
      </c>
      <c r="B8" s="57" t="s">
        <v>25</v>
      </c>
      <c r="C8" s="52" t="s">
        <v>368</v>
      </c>
      <c r="D8" s="52" t="s">
        <v>369</v>
      </c>
      <c r="E8" s="52" t="s">
        <v>370</v>
      </c>
      <c r="F8" s="87">
        <f>'Sheet 2'!T17</f>
        <v>44272</v>
      </c>
      <c r="G8" s="87">
        <f>'Sheet 2'!U17</f>
        <v>44406</v>
      </c>
      <c r="H8" s="88">
        <f t="shared" si="0"/>
        <v>4.4518272425249172</v>
      </c>
      <c r="I8" s="58">
        <f>'Sheet 2'!S17</f>
        <v>355000</v>
      </c>
      <c r="J8" s="53"/>
      <c r="K8" s="53"/>
      <c r="L8" s="53"/>
      <c r="M8" s="53"/>
      <c r="N8" s="53"/>
      <c r="O8" s="47"/>
      <c r="P8" s="54">
        <v>341769</v>
      </c>
      <c r="Q8" s="47"/>
      <c r="R8" s="54">
        <f>865915/7</f>
        <v>123702.14285714286</v>
      </c>
      <c r="S8" s="54">
        <f t="shared" ref="S8:X8" si="4">865915/7</f>
        <v>123702.14285714286</v>
      </c>
      <c r="T8" s="54">
        <f t="shared" si="4"/>
        <v>123702.14285714286</v>
      </c>
      <c r="U8" s="54">
        <f t="shared" si="4"/>
        <v>123702.14285714286</v>
      </c>
      <c r="V8" s="54">
        <f t="shared" si="4"/>
        <v>123702.14285714286</v>
      </c>
      <c r="W8" s="54">
        <f t="shared" si="4"/>
        <v>123702.14285714286</v>
      </c>
      <c r="X8" s="54">
        <f t="shared" si="4"/>
        <v>123702.14285714286</v>
      </c>
      <c r="Y8" s="53"/>
      <c r="Z8" s="53"/>
      <c r="AA8" s="53"/>
      <c r="AB8" s="53"/>
      <c r="AC8" s="53"/>
      <c r="AD8" s="47"/>
      <c r="AE8" s="53"/>
      <c r="AF8" s="53"/>
      <c r="AG8" s="47"/>
      <c r="AH8" s="53">
        <f t="shared" si="2"/>
        <v>1207684</v>
      </c>
      <c r="AI8" s="51"/>
      <c r="AJ8" s="55">
        <f t="shared" si="1"/>
        <v>-852684</v>
      </c>
    </row>
    <row r="9" spans="1:36" s="36" customFormat="1" ht="15.75" x14ac:dyDescent="0.25">
      <c r="A9" s="56" t="s">
        <v>31</v>
      </c>
      <c r="B9" s="57" t="s">
        <v>32</v>
      </c>
      <c r="C9" s="52" t="s">
        <v>368</v>
      </c>
      <c r="D9" s="52" t="s">
        <v>369</v>
      </c>
      <c r="E9" s="52" t="s">
        <v>370</v>
      </c>
      <c r="F9" s="87" t="e">
        <f>#REF!</f>
        <v>#REF!</v>
      </c>
      <c r="G9" s="87" t="e">
        <f>#REF!</f>
        <v>#REF!</v>
      </c>
      <c r="H9" s="88" t="e">
        <f t="shared" si="0"/>
        <v>#REF!</v>
      </c>
      <c r="I9" s="58" t="e">
        <f>#REF!</f>
        <v>#REF!</v>
      </c>
      <c r="J9" s="53"/>
      <c r="K9" s="53"/>
      <c r="L9" s="53"/>
      <c r="M9" s="53"/>
      <c r="N9" s="53"/>
      <c r="O9" s="47"/>
      <c r="P9" s="54">
        <v>72229</v>
      </c>
      <c r="Q9" s="47"/>
      <c r="R9" s="58"/>
      <c r="S9" s="58"/>
      <c r="T9" s="58"/>
      <c r="U9" s="54">
        <f>195344/4</f>
        <v>48836</v>
      </c>
      <c r="V9" s="54">
        <f>195344/4</f>
        <v>48836</v>
      </c>
      <c r="W9" s="54">
        <f>195344/4</f>
        <v>48836</v>
      </c>
      <c r="X9" s="54">
        <f>195344/4</f>
        <v>48836</v>
      </c>
      <c r="Y9" s="53"/>
      <c r="Z9" s="53"/>
      <c r="AA9" s="53"/>
      <c r="AB9" s="53"/>
      <c r="AC9" s="53"/>
      <c r="AD9" s="47"/>
      <c r="AE9" s="53"/>
      <c r="AF9" s="53"/>
      <c r="AG9" s="47"/>
      <c r="AH9" s="53">
        <f t="shared" si="2"/>
        <v>267573</v>
      </c>
      <c r="AI9" s="51"/>
      <c r="AJ9" s="55" t="e">
        <f t="shared" si="1"/>
        <v>#REF!</v>
      </c>
    </row>
    <row r="10" spans="1:36" s="36" customFormat="1" ht="15.75" x14ac:dyDescent="0.25">
      <c r="A10" s="56" t="s">
        <v>33</v>
      </c>
      <c r="B10" s="57" t="s">
        <v>34</v>
      </c>
      <c r="C10" s="52" t="s">
        <v>368</v>
      </c>
      <c r="D10" s="52" t="s">
        <v>369</v>
      </c>
      <c r="E10" s="52" t="s">
        <v>370</v>
      </c>
      <c r="F10" s="87" t="e">
        <f>#REF!</f>
        <v>#REF!</v>
      </c>
      <c r="G10" s="87" t="e">
        <f>#REF!</f>
        <v>#REF!</v>
      </c>
      <c r="H10" s="88" t="e">
        <f t="shared" si="0"/>
        <v>#REF!</v>
      </c>
      <c r="I10" s="58" t="e">
        <f>#REF!</f>
        <v>#REF!</v>
      </c>
      <c r="J10" s="53"/>
      <c r="K10" s="53"/>
      <c r="L10" s="53"/>
      <c r="M10" s="53"/>
      <c r="N10" s="53"/>
      <c r="O10" s="47"/>
      <c r="P10" s="54">
        <v>45650</v>
      </c>
      <c r="Q10" s="47"/>
      <c r="R10" s="58"/>
      <c r="S10" s="58"/>
      <c r="T10" s="58"/>
      <c r="U10" s="54">
        <f>184520/4</f>
        <v>46130</v>
      </c>
      <c r="V10" s="54">
        <f>184520/4</f>
        <v>46130</v>
      </c>
      <c r="W10" s="54">
        <f>184520/4</f>
        <v>46130</v>
      </c>
      <c r="X10" s="54">
        <f>184520/4</f>
        <v>46130</v>
      </c>
      <c r="Y10" s="53"/>
      <c r="Z10" s="53"/>
      <c r="AA10" s="53"/>
      <c r="AB10" s="53"/>
      <c r="AC10" s="53"/>
      <c r="AD10" s="47"/>
      <c r="AE10" s="53"/>
      <c r="AF10" s="53"/>
      <c r="AG10" s="47"/>
      <c r="AH10" s="53">
        <f t="shared" si="2"/>
        <v>230170</v>
      </c>
      <c r="AI10" s="51"/>
      <c r="AJ10" s="55" t="e">
        <f t="shared" si="1"/>
        <v>#REF!</v>
      </c>
    </row>
    <row r="11" spans="1:36" s="36" customFormat="1" ht="15.75" x14ac:dyDescent="0.25">
      <c r="A11" s="56" t="s">
        <v>35</v>
      </c>
      <c r="B11" s="57" t="s">
        <v>36</v>
      </c>
      <c r="C11" s="52" t="s">
        <v>368</v>
      </c>
      <c r="D11" s="52" t="s">
        <v>372</v>
      </c>
      <c r="E11" s="52" t="s">
        <v>370</v>
      </c>
      <c r="F11" s="87" t="e">
        <f>#REF!</f>
        <v>#REF!</v>
      </c>
      <c r="G11" s="87" t="e">
        <f>#REF!</f>
        <v>#REF!</v>
      </c>
      <c r="H11" s="88" t="e">
        <f t="shared" si="0"/>
        <v>#REF!</v>
      </c>
      <c r="I11" s="58" t="e">
        <f>#REF!</f>
        <v>#REF!</v>
      </c>
      <c r="J11" s="53"/>
      <c r="K11" s="53"/>
      <c r="L11" s="53"/>
      <c r="M11" s="53"/>
      <c r="N11" s="53"/>
      <c r="O11" s="47"/>
      <c r="P11" s="54">
        <v>280923</v>
      </c>
      <c r="Q11" s="47"/>
      <c r="R11" s="54">
        <v>100518</v>
      </c>
      <c r="S11" s="54">
        <v>100518</v>
      </c>
      <c r="T11" s="54">
        <v>100518</v>
      </c>
      <c r="U11" s="54">
        <v>100518</v>
      </c>
      <c r="V11" s="54">
        <v>100518</v>
      </c>
      <c r="W11" s="54">
        <v>100518</v>
      </c>
      <c r="X11" s="54">
        <v>50515</v>
      </c>
      <c r="Y11" s="54">
        <v>50000</v>
      </c>
      <c r="Z11" s="53"/>
      <c r="AA11" s="53"/>
      <c r="AB11" s="53"/>
      <c r="AC11" s="53"/>
      <c r="AD11" s="47"/>
      <c r="AE11" s="53"/>
      <c r="AF11" s="53"/>
      <c r="AG11" s="47"/>
      <c r="AH11" s="53">
        <f t="shared" si="2"/>
        <v>984546</v>
      </c>
      <c r="AI11" s="51"/>
      <c r="AJ11" s="55" t="e">
        <f t="shared" si="1"/>
        <v>#REF!</v>
      </c>
    </row>
    <row r="12" spans="1:36" s="36" customFormat="1" ht="15.75" x14ac:dyDescent="0.25">
      <c r="A12" s="34" t="s">
        <v>170</v>
      </c>
      <c r="B12" s="35" t="s">
        <v>171</v>
      </c>
      <c r="C12" s="52" t="s">
        <v>368</v>
      </c>
      <c r="D12" s="52" t="s">
        <v>45</v>
      </c>
      <c r="E12" s="52" t="s">
        <v>320</v>
      </c>
      <c r="F12" s="52">
        <f>'Sheet 2'!T12</f>
        <v>44256</v>
      </c>
      <c r="G12" s="52">
        <f>'Sheet 2'!U12</f>
        <v>44557</v>
      </c>
      <c r="H12" s="50">
        <f>((G12-F12)/7)/4.3</f>
        <v>10</v>
      </c>
      <c r="I12" s="53">
        <f>'Sheet 2'!S12</f>
        <v>1375000</v>
      </c>
      <c r="J12" s="53"/>
      <c r="K12" s="53"/>
      <c r="L12" s="53"/>
      <c r="M12" s="53"/>
      <c r="N12" s="53"/>
      <c r="O12" s="47"/>
      <c r="P12" s="53"/>
      <c r="Q12" s="47"/>
      <c r="R12" s="53"/>
      <c r="S12" s="53"/>
      <c r="T12" s="54">
        <v>75000</v>
      </c>
      <c r="U12" s="54">
        <v>100000</v>
      </c>
      <c r="V12" s="54">
        <v>100000</v>
      </c>
      <c r="W12" s="54">
        <v>125000</v>
      </c>
      <c r="X12" s="54">
        <v>125000</v>
      </c>
      <c r="Y12" s="54">
        <v>125000</v>
      </c>
      <c r="Z12" s="54">
        <v>125000</v>
      </c>
      <c r="AA12" s="54">
        <v>125000</v>
      </c>
      <c r="AB12" s="54">
        <v>75000</v>
      </c>
      <c r="AC12" s="58"/>
      <c r="AD12" s="47"/>
      <c r="AE12" s="53"/>
      <c r="AF12" s="53"/>
      <c r="AG12" s="47"/>
      <c r="AH12" s="53">
        <f>SUM(P12:AG12)</f>
        <v>975000</v>
      </c>
      <c r="AI12" s="51"/>
      <c r="AJ12" s="55">
        <f>I12-AH12</f>
        <v>400000</v>
      </c>
    </row>
    <row r="13" spans="1:36" s="36" customFormat="1" ht="15.75" x14ac:dyDescent="0.25">
      <c r="A13" s="34" t="s">
        <v>41</v>
      </c>
      <c r="B13" s="35" t="s">
        <v>42</v>
      </c>
      <c r="C13" s="52" t="s">
        <v>368</v>
      </c>
      <c r="D13" s="52" t="s">
        <v>371</v>
      </c>
      <c r="E13" s="52" t="s">
        <v>320</v>
      </c>
      <c r="F13" s="87" t="e">
        <f>#REF!</f>
        <v>#REF!</v>
      </c>
      <c r="G13" s="87" t="e">
        <f>#REF!</f>
        <v>#REF!</v>
      </c>
      <c r="H13" s="88" t="e">
        <f t="shared" si="0"/>
        <v>#REF!</v>
      </c>
      <c r="I13" s="58" t="e">
        <f>#REF!</f>
        <v>#REF!</v>
      </c>
      <c r="J13" s="53"/>
      <c r="K13" s="53"/>
      <c r="L13" s="53"/>
      <c r="M13" s="53"/>
      <c r="N13" s="53"/>
      <c r="O13" s="47"/>
      <c r="P13" s="53">
        <v>0</v>
      </c>
      <c r="Q13" s="47"/>
      <c r="R13" s="58"/>
      <c r="S13" s="54">
        <f t="shared" ref="S13:X13" si="5">723063/6</f>
        <v>120510.5</v>
      </c>
      <c r="T13" s="54">
        <f t="shared" si="5"/>
        <v>120510.5</v>
      </c>
      <c r="U13" s="54">
        <f t="shared" si="5"/>
        <v>120510.5</v>
      </c>
      <c r="V13" s="54">
        <f t="shared" si="5"/>
        <v>120510.5</v>
      </c>
      <c r="W13" s="54">
        <f t="shared" si="5"/>
        <v>120510.5</v>
      </c>
      <c r="X13" s="54">
        <f t="shared" si="5"/>
        <v>120510.5</v>
      </c>
      <c r="Y13" s="58"/>
      <c r="Z13" s="58"/>
      <c r="AA13" s="58"/>
      <c r="AB13" s="58"/>
      <c r="AC13" s="53"/>
      <c r="AD13" s="47"/>
      <c r="AE13" s="53"/>
      <c r="AF13" s="53"/>
      <c r="AG13" s="47"/>
      <c r="AH13" s="53">
        <f t="shared" si="2"/>
        <v>723063</v>
      </c>
      <c r="AI13" s="51"/>
      <c r="AJ13" s="55" t="e">
        <f t="shared" si="1"/>
        <v>#REF!</v>
      </c>
    </row>
    <row r="14" spans="1:36" s="36" customFormat="1" ht="15.75" x14ac:dyDescent="0.25">
      <c r="A14" s="111" t="s">
        <v>174</v>
      </c>
      <c r="B14" s="112" t="s">
        <v>175</v>
      </c>
      <c r="C14" s="52" t="s">
        <v>368</v>
      </c>
      <c r="D14" s="52" t="s">
        <v>45</v>
      </c>
      <c r="E14" s="52" t="s">
        <v>320</v>
      </c>
      <c r="F14" s="52" t="e">
        <f>#REF!</f>
        <v>#REF!</v>
      </c>
      <c r="G14" s="52" t="e">
        <f>#REF!</f>
        <v>#REF!</v>
      </c>
      <c r="H14" s="50" t="e">
        <f>((G14-F14)/7)/4.3</f>
        <v>#REF!</v>
      </c>
      <c r="I14" s="53" t="e">
        <f>#REF!</f>
        <v>#REF!</v>
      </c>
      <c r="J14" s="53"/>
      <c r="K14" s="53"/>
      <c r="L14" s="53"/>
      <c r="M14" s="53"/>
      <c r="N14" s="53"/>
      <c r="O14" s="47"/>
      <c r="P14" s="53"/>
      <c r="Q14" s="47"/>
      <c r="R14" s="53"/>
      <c r="S14" s="53"/>
      <c r="T14" s="53"/>
      <c r="U14" s="53"/>
      <c r="V14" s="54"/>
      <c r="W14" s="54"/>
      <c r="X14" s="54"/>
      <c r="Y14" s="54"/>
      <c r="Z14" s="54"/>
      <c r="AA14" s="54"/>
      <c r="AB14" s="58"/>
      <c r="AC14" s="58"/>
      <c r="AD14" s="47"/>
      <c r="AE14" s="58"/>
      <c r="AF14" s="53"/>
      <c r="AG14" s="47"/>
      <c r="AH14" s="53">
        <f>SUM(P14:AG14)</f>
        <v>0</v>
      </c>
      <c r="AI14" s="51"/>
      <c r="AJ14" s="55" t="e">
        <f>I14-AH14</f>
        <v>#REF!</v>
      </c>
    </row>
    <row r="15" spans="1:36" s="36" customFormat="1" ht="15.75" x14ac:dyDescent="0.25">
      <c r="A15" s="113" t="s">
        <v>176</v>
      </c>
      <c r="B15" s="114" t="s">
        <v>177</v>
      </c>
      <c r="C15" s="52" t="s">
        <v>368</v>
      </c>
      <c r="D15" s="52" t="s">
        <v>45</v>
      </c>
      <c r="E15" s="52" t="s">
        <v>320</v>
      </c>
      <c r="F15" s="52" t="e">
        <f>#REF!</f>
        <v>#REF!</v>
      </c>
      <c r="G15" s="52" t="e">
        <f>#REF!</f>
        <v>#REF!</v>
      </c>
      <c r="H15" s="50" t="e">
        <f>((G15-F15)/7)/4.3</f>
        <v>#REF!</v>
      </c>
      <c r="I15" s="53" t="e">
        <f>#REF!</f>
        <v>#REF!</v>
      </c>
      <c r="J15" s="53"/>
      <c r="K15" s="53"/>
      <c r="L15" s="53"/>
      <c r="M15" s="53"/>
      <c r="N15" s="53"/>
      <c r="O15" s="47"/>
      <c r="P15" s="53"/>
      <c r="Q15" s="47"/>
      <c r="R15" s="53"/>
      <c r="S15" s="53"/>
      <c r="T15" s="53"/>
      <c r="U15" s="53"/>
      <c r="V15" s="54">
        <v>25000</v>
      </c>
      <c r="W15" s="54">
        <f t="shared" ref="W15:AB15" si="6">200000/8</f>
        <v>25000</v>
      </c>
      <c r="X15" s="54">
        <f t="shared" si="6"/>
        <v>25000</v>
      </c>
      <c r="Y15" s="54">
        <f t="shared" si="6"/>
        <v>25000</v>
      </c>
      <c r="Z15" s="54">
        <f t="shared" si="6"/>
        <v>25000</v>
      </c>
      <c r="AA15" s="54">
        <f t="shared" si="6"/>
        <v>25000</v>
      </c>
      <c r="AB15" s="54">
        <f t="shared" si="6"/>
        <v>25000</v>
      </c>
      <c r="AC15" s="58"/>
      <c r="AD15" s="47"/>
      <c r="AE15" s="58"/>
      <c r="AF15" s="53"/>
      <c r="AG15" s="47"/>
      <c r="AH15" s="53">
        <f>SUM(P15:AG15)</f>
        <v>175000</v>
      </c>
      <c r="AI15" s="51"/>
      <c r="AJ15" s="55" t="e">
        <f>I15-AH15</f>
        <v>#REF!</v>
      </c>
    </row>
    <row r="16" spans="1:36" s="36" customFormat="1" ht="15.75" x14ac:dyDescent="0.25">
      <c r="A16" s="34" t="s">
        <v>47</v>
      </c>
      <c r="B16" s="35" t="s">
        <v>48</v>
      </c>
      <c r="C16" s="52" t="s">
        <v>368</v>
      </c>
      <c r="D16" s="52" t="s">
        <v>372</v>
      </c>
      <c r="E16" s="52" t="s">
        <v>370</v>
      </c>
      <c r="F16" s="87" t="e">
        <f>#REF!</f>
        <v>#REF!</v>
      </c>
      <c r="G16" s="87" t="e">
        <f>#REF!</f>
        <v>#REF!</v>
      </c>
      <c r="H16" s="88" t="e">
        <f t="shared" si="0"/>
        <v>#REF!</v>
      </c>
      <c r="I16" s="58" t="e">
        <f>#REF!</f>
        <v>#REF!</v>
      </c>
      <c r="J16" s="53"/>
      <c r="K16" s="53"/>
      <c r="L16" s="53"/>
      <c r="M16" s="53"/>
      <c r="N16" s="53"/>
      <c r="O16" s="47"/>
      <c r="P16" s="53">
        <v>0</v>
      </c>
      <c r="Q16" s="47"/>
      <c r="R16" s="53"/>
      <c r="S16" s="54">
        <v>30000</v>
      </c>
      <c r="T16" s="54">
        <v>29405</v>
      </c>
      <c r="U16" s="58"/>
      <c r="V16" s="58"/>
      <c r="W16" s="58"/>
      <c r="X16" s="53"/>
      <c r="Y16" s="53"/>
      <c r="Z16" s="53"/>
      <c r="AA16" s="53"/>
      <c r="AB16" s="53"/>
      <c r="AC16" s="53"/>
      <c r="AD16" s="47"/>
      <c r="AE16" s="53"/>
      <c r="AF16" s="53"/>
      <c r="AG16" s="47"/>
      <c r="AH16" s="53">
        <f>SUM(P16:AG16)</f>
        <v>59405</v>
      </c>
      <c r="AI16" s="51"/>
      <c r="AJ16" s="55" t="e">
        <f t="shared" si="1"/>
        <v>#REF!</v>
      </c>
    </row>
    <row r="17" spans="1:36" s="36" customFormat="1" ht="15.75" x14ac:dyDescent="0.25">
      <c r="A17" s="95"/>
      <c r="B17" s="95"/>
      <c r="C17" s="91"/>
      <c r="D17" s="91"/>
      <c r="E17" s="91"/>
      <c r="F17" s="91"/>
      <c r="G17" s="91"/>
      <c r="H17" s="92"/>
      <c r="I17" s="59" t="e">
        <f>SUM(I4:I16)</f>
        <v>#REF!</v>
      </c>
      <c r="J17" s="59"/>
      <c r="K17" s="59"/>
      <c r="L17" s="59"/>
      <c r="M17" s="59"/>
      <c r="N17" s="59"/>
      <c r="O17" s="47"/>
      <c r="P17" s="59">
        <f>SUM(P4:P16)</f>
        <v>1850340</v>
      </c>
      <c r="Q17" s="47"/>
      <c r="R17" s="59">
        <f>SUM(R4:R16)</f>
        <v>371936.14285714284</v>
      </c>
      <c r="S17" s="59">
        <f t="shared" ref="S17:AC17" si="7">SUM(S4:S16)</f>
        <v>422060.64285714284</v>
      </c>
      <c r="T17" s="59">
        <f t="shared" si="7"/>
        <v>524135.64285714284</v>
      </c>
      <c r="U17" s="59">
        <f t="shared" si="7"/>
        <v>639696.64285714284</v>
      </c>
      <c r="V17" s="59">
        <f t="shared" si="7"/>
        <v>689696.64285714284</v>
      </c>
      <c r="W17" s="59">
        <f t="shared" si="7"/>
        <v>714696.64285714284</v>
      </c>
      <c r="X17" s="59">
        <f t="shared" si="7"/>
        <v>664693.64285714284</v>
      </c>
      <c r="Y17" s="59">
        <f t="shared" si="7"/>
        <v>325000</v>
      </c>
      <c r="Z17" s="59">
        <f t="shared" si="7"/>
        <v>275000</v>
      </c>
      <c r="AA17" s="59">
        <f t="shared" si="7"/>
        <v>275000</v>
      </c>
      <c r="AB17" s="59">
        <f t="shared" si="7"/>
        <v>175000</v>
      </c>
      <c r="AC17" s="59">
        <f t="shared" si="7"/>
        <v>0</v>
      </c>
      <c r="AD17" s="47"/>
      <c r="AE17" s="59">
        <f>SUM(AE4:AE16)</f>
        <v>0</v>
      </c>
      <c r="AF17" s="59">
        <f>SUM(AF4:AF16)</f>
        <v>0</v>
      </c>
      <c r="AG17" s="47"/>
      <c r="AH17" s="53">
        <f>SUM(P17:AG17)</f>
        <v>6927255.9999999991</v>
      </c>
      <c r="AI17" s="51"/>
      <c r="AJ17" s="55" t="e">
        <f t="shared" si="1"/>
        <v>#REF!</v>
      </c>
    </row>
    <row r="18" spans="1:36" s="36" customFormat="1" ht="15.75" x14ac:dyDescent="0.25">
      <c r="A18" s="106" t="s">
        <v>52</v>
      </c>
      <c r="B18" s="107"/>
      <c r="C18" s="101" t="s">
        <v>373</v>
      </c>
      <c r="D18" s="102"/>
      <c r="E18" s="102"/>
      <c r="F18" s="102"/>
      <c r="G18" s="102"/>
      <c r="H18" s="84"/>
      <c r="I18" s="103"/>
      <c r="J18" s="103"/>
      <c r="K18" s="103"/>
      <c r="L18" s="103"/>
      <c r="M18" s="103"/>
      <c r="N18" s="103"/>
      <c r="O18" s="47"/>
      <c r="P18" s="103"/>
      <c r="Q18" s="47"/>
      <c r="R18" s="85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47"/>
      <c r="AE18" s="103"/>
      <c r="AF18" s="103"/>
      <c r="AG18" s="47"/>
      <c r="AH18" s="85"/>
      <c r="AI18" s="51"/>
      <c r="AJ18" s="55"/>
    </row>
    <row r="19" spans="1:36" s="36" customFormat="1" ht="15.75" x14ac:dyDescent="0.25">
      <c r="A19" s="60" t="s">
        <v>49</v>
      </c>
      <c r="B19" s="61" t="s">
        <v>374</v>
      </c>
      <c r="C19" s="52" t="s">
        <v>373</v>
      </c>
      <c r="D19" s="52" t="s">
        <v>375</v>
      </c>
      <c r="E19" s="52" t="s">
        <v>370</v>
      </c>
      <c r="F19" s="87">
        <f>'Sheet 2'!T13</f>
        <v>44284</v>
      </c>
      <c r="G19" s="87">
        <v>44371.8</v>
      </c>
      <c r="H19" s="88">
        <f>((G19-F19)/7)/4.3</f>
        <v>2.916943521594781</v>
      </c>
      <c r="I19" s="58">
        <f>'Sheet 2'!S13</f>
        <v>650000</v>
      </c>
      <c r="J19" s="53">
        <v>8913792</v>
      </c>
      <c r="K19" s="53">
        <f>I19-J19</f>
        <v>-8263792</v>
      </c>
      <c r="L19" s="53">
        <v>8917546</v>
      </c>
      <c r="M19" s="53">
        <f>I19-L19</f>
        <v>-8267546</v>
      </c>
      <c r="N19" s="53">
        <f>K19-M19</f>
        <v>3754</v>
      </c>
      <c r="O19" s="47"/>
      <c r="P19" s="83">
        <v>4251267</v>
      </c>
      <c r="Q19" s="47"/>
      <c r="R19" s="54">
        <v>829806</v>
      </c>
      <c r="S19" s="54">
        <v>986301</v>
      </c>
      <c r="T19" s="54">
        <v>1033536</v>
      </c>
      <c r="U19" s="54">
        <v>1016301</v>
      </c>
      <c r="V19" s="54">
        <v>817564</v>
      </c>
      <c r="W19" s="54">
        <v>599339</v>
      </c>
      <c r="X19" s="58"/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47"/>
      <c r="AE19" s="53"/>
      <c r="AF19" s="53"/>
      <c r="AG19" s="47"/>
      <c r="AH19" s="53">
        <f>SUM(P19:AG19)</f>
        <v>9534114</v>
      </c>
      <c r="AI19" s="51"/>
      <c r="AJ19" s="55">
        <f>I19-AH19</f>
        <v>-8884114</v>
      </c>
    </row>
    <row r="20" spans="1:36" s="36" customFormat="1" ht="15.75" x14ac:dyDescent="0.25">
      <c r="A20" s="34" t="s">
        <v>55</v>
      </c>
      <c r="B20" s="35" t="s">
        <v>376</v>
      </c>
      <c r="C20" s="52" t="s">
        <v>373</v>
      </c>
      <c r="D20" s="52" t="s">
        <v>372</v>
      </c>
      <c r="E20" s="52" t="s">
        <v>370</v>
      </c>
      <c r="F20" s="87">
        <v>44102</v>
      </c>
      <c r="G20" s="87">
        <v>44307</v>
      </c>
      <c r="H20" s="88">
        <f>((G20-F20)/7)/4.3</f>
        <v>6.8106312292358808</v>
      </c>
      <c r="I20" s="58" t="e">
        <f>#REF!</f>
        <v>#REF!</v>
      </c>
      <c r="J20" s="53">
        <v>1021270</v>
      </c>
      <c r="K20" s="53" t="e">
        <f>I20-J20</f>
        <v>#REF!</v>
      </c>
      <c r="L20" s="53">
        <v>945919</v>
      </c>
      <c r="M20" s="53" t="e">
        <f>I20-L20</f>
        <v>#REF!</v>
      </c>
      <c r="N20" s="53" t="e">
        <f>K20-M20</f>
        <v>#REF!</v>
      </c>
      <c r="O20" s="47"/>
      <c r="P20" s="54">
        <v>687650</v>
      </c>
      <c r="Q20" s="47"/>
      <c r="R20" s="54">
        <v>140000</v>
      </c>
      <c r="S20" s="54">
        <v>180232</v>
      </c>
      <c r="T20" s="54">
        <v>140523</v>
      </c>
      <c r="U20" s="54">
        <v>60416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47"/>
      <c r="AE20" s="53"/>
      <c r="AF20" s="53"/>
      <c r="AG20" s="47"/>
      <c r="AH20" s="53">
        <f>SUM(P20:AG20)</f>
        <v>1208821</v>
      </c>
      <c r="AI20" s="51"/>
      <c r="AJ20" s="55" t="e">
        <f>I20-AH20</f>
        <v>#REF!</v>
      </c>
    </row>
    <row r="21" spans="1:36" s="36" customFormat="1" ht="15.75" x14ac:dyDescent="0.25">
      <c r="A21" s="34" t="s">
        <v>60</v>
      </c>
      <c r="B21" s="35" t="s">
        <v>377</v>
      </c>
      <c r="C21" s="52" t="s">
        <v>373</v>
      </c>
      <c r="D21" s="52" t="s">
        <v>378</v>
      </c>
      <c r="E21" s="52" t="s">
        <v>370</v>
      </c>
      <c r="F21" s="87">
        <v>44223</v>
      </c>
      <c r="G21" s="87">
        <v>44545</v>
      </c>
      <c r="H21" s="88">
        <f>((G21-F21)/7)/4.3</f>
        <v>10.697674418604652</v>
      </c>
      <c r="I21" s="58" t="e">
        <f>#REF!</f>
        <v>#REF!</v>
      </c>
      <c r="J21" s="53">
        <v>12555112</v>
      </c>
      <c r="K21" s="53" t="e">
        <f>I21-J21</f>
        <v>#REF!</v>
      </c>
      <c r="L21" s="53">
        <v>12611053</v>
      </c>
      <c r="M21" s="53" t="e">
        <f>I21-L21</f>
        <v>#REF!</v>
      </c>
      <c r="N21" s="53" t="e">
        <f>K21-M21</f>
        <v>#REF!</v>
      </c>
      <c r="O21" s="47"/>
      <c r="P21" s="54">
        <v>735905</v>
      </c>
      <c r="Q21" s="47"/>
      <c r="R21" s="54">
        <v>1015000</v>
      </c>
      <c r="S21" s="54">
        <v>1200000</v>
      </c>
      <c r="T21" s="54">
        <v>1300000</v>
      </c>
      <c r="U21" s="54">
        <v>1274530</v>
      </c>
      <c r="V21" s="54">
        <v>1379154</v>
      </c>
      <c r="W21" s="54">
        <v>1414621</v>
      </c>
      <c r="X21" s="54">
        <v>1379154</v>
      </c>
      <c r="Y21" s="54">
        <v>1274530</v>
      </c>
      <c r="Z21" s="54">
        <v>843964</v>
      </c>
      <c r="AA21" s="54">
        <v>843964</v>
      </c>
      <c r="AB21" s="54">
        <v>520154</v>
      </c>
      <c r="AC21" s="54">
        <v>226935</v>
      </c>
      <c r="AD21" s="47"/>
      <c r="AE21" s="53"/>
      <c r="AF21" s="53"/>
      <c r="AG21" s="47"/>
      <c r="AH21" s="53">
        <f>SUM(P21:AG21)</f>
        <v>13407911</v>
      </c>
      <c r="AI21" s="51"/>
      <c r="AJ21" s="55" t="e">
        <f>I21-AH21</f>
        <v>#REF!</v>
      </c>
    </row>
    <row r="22" spans="1:36" s="36" customFormat="1" ht="15.75" x14ac:dyDescent="0.25">
      <c r="A22" s="93"/>
      <c r="B22" s="94"/>
      <c r="C22" s="91"/>
      <c r="D22" s="91"/>
      <c r="E22" s="91"/>
      <c r="F22" s="91"/>
      <c r="G22" s="91"/>
      <c r="H22" s="92"/>
      <c r="I22" s="59" t="e">
        <f>SUM(I19:I21)</f>
        <v>#REF!</v>
      </c>
      <c r="J22" s="59"/>
      <c r="K22" s="59"/>
      <c r="L22" s="59"/>
      <c r="M22" s="59"/>
      <c r="N22" s="59"/>
      <c r="O22" s="47"/>
      <c r="P22" s="59">
        <f>SUM(P19:P21)</f>
        <v>5674822</v>
      </c>
      <c r="Q22" s="47"/>
      <c r="R22" s="59">
        <f>SUM(R19:R21)</f>
        <v>1984806</v>
      </c>
      <c r="S22" s="59">
        <f t="shared" ref="S22:AC22" si="8">SUM(S19:S21)</f>
        <v>2366533</v>
      </c>
      <c r="T22" s="59">
        <f t="shared" si="8"/>
        <v>2474059</v>
      </c>
      <c r="U22" s="59">
        <f t="shared" si="8"/>
        <v>2351247</v>
      </c>
      <c r="V22" s="59">
        <f t="shared" si="8"/>
        <v>2196718</v>
      </c>
      <c r="W22" s="59">
        <f t="shared" si="8"/>
        <v>2013960</v>
      </c>
      <c r="X22" s="59">
        <f t="shared" si="8"/>
        <v>1379154</v>
      </c>
      <c r="Y22" s="59">
        <f t="shared" si="8"/>
        <v>1274530</v>
      </c>
      <c r="Z22" s="59">
        <f t="shared" si="8"/>
        <v>843964</v>
      </c>
      <c r="AA22" s="59">
        <f t="shared" si="8"/>
        <v>843964</v>
      </c>
      <c r="AB22" s="59">
        <f t="shared" si="8"/>
        <v>520154</v>
      </c>
      <c r="AC22" s="59">
        <f t="shared" si="8"/>
        <v>226935</v>
      </c>
      <c r="AD22" s="47"/>
      <c r="AE22" s="59">
        <f>SUM(AE18:AE21)</f>
        <v>0</v>
      </c>
      <c r="AF22" s="59">
        <f>SUM(AF18:AF21)</f>
        <v>0</v>
      </c>
      <c r="AG22" s="47"/>
      <c r="AH22" s="53">
        <f t="shared" ref="AH22:AH27" si="9">SUM(P22:AG22)</f>
        <v>24150846</v>
      </c>
      <c r="AI22" s="51"/>
      <c r="AJ22" s="55" t="e">
        <f>I22-AH22</f>
        <v>#REF!</v>
      </c>
    </row>
    <row r="23" spans="1:36" s="36" customFormat="1" ht="15.75" x14ac:dyDescent="0.25">
      <c r="A23" s="106" t="s">
        <v>379</v>
      </c>
      <c r="B23" s="107"/>
      <c r="C23" s="101" t="s">
        <v>380</v>
      </c>
      <c r="D23" s="102"/>
      <c r="E23" s="102"/>
      <c r="F23" s="102"/>
      <c r="G23" s="102"/>
      <c r="H23" s="84"/>
      <c r="I23" s="103"/>
      <c r="J23" s="103"/>
      <c r="K23" s="103"/>
      <c r="L23" s="103"/>
      <c r="M23" s="103"/>
      <c r="N23" s="103"/>
      <c r="O23" s="47"/>
      <c r="P23" s="103"/>
      <c r="Q23" s="47"/>
      <c r="R23" s="85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47"/>
      <c r="AE23" s="103"/>
      <c r="AF23" s="103"/>
      <c r="AG23" s="47"/>
      <c r="AH23" s="85"/>
      <c r="AI23" s="51"/>
      <c r="AJ23" s="55"/>
    </row>
    <row r="24" spans="1:36" s="36" customFormat="1" ht="15.75" x14ac:dyDescent="0.25">
      <c r="A24" s="60" t="s">
        <v>269</v>
      </c>
      <c r="B24" s="61" t="s">
        <v>270</v>
      </c>
      <c r="C24" s="52" t="s">
        <v>380</v>
      </c>
      <c r="D24" s="52" t="s">
        <v>381</v>
      </c>
      <c r="E24" s="52" t="s">
        <v>370</v>
      </c>
      <c r="F24" s="52" t="e">
        <f>#REF!</f>
        <v>#REF!</v>
      </c>
      <c r="G24" s="52" t="e">
        <f>#REF!</f>
        <v>#REF!</v>
      </c>
      <c r="H24" s="50" t="e">
        <f t="shared" ref="H24:H36" si="10">((G24-F24)/7)/4.3</f>
        <v>#REF!</v>
      </c>
      <c r="I24" s="53" t="e">
        <f>#REF!</f>
        <v>#REF!</v>
      </c>
      <c r="J24" s="53"/>
      <c r="K24" s="53"/>
      <c r="L24" s="53"/>
      <c r="M24" s="53"/>
      <c r="N24" s="53"/>
      <c r="O24" s="47"/>
      <c r="P24" s="54">
        <v>890454</v>
      </c>
      <c r="Q24" s="47"/>
      <c r="R24" s="58"/>
      <c r="S24" s="5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47"/>
      <c r="AE24" s="53"/>
      <c r="AF24" s="53"/>
      <c r="AG24" s="47"/>
      <c r="AH24" s="53">
        <f t="shared" si="9"/>
        <v>890454</v>
      </c>
      <c r="AI24" s="51"/>
      <c r="AJ24" s="55" t="e">
        <f t="shared" ref="AJ24:AJ37" si="11">I24-AH24</f>
        <v>#REF!</v>
      </c>
    </row>
    <row r="25" spans="1:36" s="36" customFormat="1" ht="15.75" x14ac:dyDescent="0.25">
      <c r="A25" s="60" t="s">
        <v>65</v>
      </c>
      <c r="B25" s="61" t="s">
        <v>66</v>
      </c>
      <c r="C25" s="52" t="s">
        <v>380</v>
      </c>
      <c r="D25" s="52" t="s">
        <v>381</v>
      </c>
      <c r="E25" s="52" t="s">
        <v>370</v>
      </c>
      <c r="F25" s="52">
        <f>'Sheet 2'!T9</f>
        <v>44119</v>
      </c>
      <c r="G25" s="87">
        <f>'Sheet 2'!U9</f>
        <v>44531</v>
      </c>
      <c r="H25" s="50">
        <f t="shared" si="10"/>
        <v>13.687707641196013</v>
      </c>
      <c r="I25" s="53">
        <f>'Sheet 2'!S9</f>
        <v>13407911</v>
      </c>
      <c r="J25" s="53"/>
      <c r="K25" s="53"/>
      <c r="L25" s="53"/>
      <c r="M25" s="53"/>
      <c r="N25" s="53"/>
      <c r="O25" s="47"/>
      <c r="P25" s="54">
        <v>1881717</v>
      </c>
      <c r="Q25" s="47"/>
      <c r="R25" s="54">
        <v>100000</v>
      </c>
      <c r="S25" s="54">
        <v>10000</v>
      </c>
      <c r="T25" s="54">
        <v>88948</v>
      </c>
      <c r="U25" s="53"/>
      <c r="V25" s="53"/>
      <c r="W25" s="53"/>
      <c r="X25" s="53"/>
      <c r="Y25" s="53"/>
      <c r="Z25" s="53"/>
      <c r="AA25" s="53"/>
      <c r="AB25" s="53"/>
      <c r="AC25" s="53"/>
      <c r="AD25" s="47"/>
      <c r="AE25" s="53"/>
      <c r="AF25" s="53"/>
      <c r="AG25" s="47"/>
      <c r="AH25" s="53">
        <f t="shared" si="9"/>
        <v>2080665</v>
      </c>
      <c r="AI25" s="51"/>
      <c r="AJ25" s="55">
        <f t="shared" si="11"/>
        <v>11327246</v>
      </c>
    </row>
    <row r="26" spans="1:36" s="36" customFormat="1" ht="15.75" x14ac:dyDescent="0.25">
      <c r="A26" s="34" t="s">
        <v>71</v>
      </c>
      <c r="B26" s="35" t="s">
        <v>72</v>
      </c>
      <c r="C26" s="52" t="s">
        <v>380</v>
      </c>
      <c r="D26" s="52" t="s">
        <v>381</v>
      </c>
      <c r="E26" s="52" t="s">
        <v>320</v>
      </c>
      <c r="F26" s="52" t="e">
        <f>#REF!</f>
        <v>#REF!</v>
      </c>
      <c r="G26" s="52" t="e">
        <f>#REF!</f>
        <v>#REF!</v>
      </c>
      <c r="H26" s="50" t="e">
        <f t="shared" si="10"/>
        <v>#REF!</v>
      </c>
      <c r="I26" s="53" t="e">
        <f>#REF!</f>
        <v>#REF!</v>
      </c>
      <c r="J26" s="53"/>
      <c r="K26" s="53"/>
      <c r="L26" s="53"/>
      <c r="M26" s="53"/>
      <c r="N26" s="53"/>
      <c r="O26" s="47"/>
      <c r="P26" s="53">
        <v>0</v>
      </c>
      <c r="Q26" s="47"/>
      <c r="R26" s="53"/>
      <c r="S26" s="53"/>
      <c r="T26" s="54">
        <v>50000</v>
      </c>
      <c r="U26" s="54">
        <v>50000</v>
      </c>
      <c r="V26" s="54">
        <v>50000</v>
      </c>
      <c r="W26" s="54">
        <v>27819</v>
      </c>
      <c r="X26" s="53"/>
      <c r="Y26" s="53"/>
      <c r="Z26" s="53"/>
      <c r="AA26" s="53"/>
      <c r="AB26" s="53"/>
      <c r="AC26" s="53"/>
      <c r="AD26" s="47"/>
      <c r="AE26" s="53"/>
      <c r="AF26" s="53"/>
      <c r="AG26" s="47"/>
      <c r="AH26" s="53">
        <f t="shared" si="9"/>
        <v>177819</v>
      </c>
      <c r="AI26" s="51"/>
      <c r="AJ26" s="55" t="e">
        <f t="shared" si="11"/>
        <v>#REF!</v>
      </c>
    </row>
    <row r="27" spans="1:36" s="36" customFormat="1" ht="15.75" x14ac:dyDescent="0.25">
      <c r="A27" s="34" t="s">
        <v>74</v>
      </c>
      <c r="B27" s="35" t="s">
        <v>76</v>
      </c>
      <c r="C27" s="52" t="s">
        <v>380</v>
      </c>
      <c r="D27" s="52" t="s">
        <v>381</v>
      </c>
      <c r="E27" s="52" t="s">
        <v>320</v>
      </c>
      <c r="F27" s="109" t="e">
        <f>#REF!</f>
        <v>#REF!</v>
      </c>
      <c r="G27" s="52" t="e">
        <f>#REF!</f>
        <v>#REF!</v>
      </c>
      <c r="H27" s="50"/>
      <c r="I27" s="53" t="e">
        <f>#REF!</f>
        <v>#REF!</v>
      </c>
      <c r="J27" s="53"/>
      <c r="K27" s="53"/>
      <c r="L27" s="53"/>
      <c r="M27" s="53"/>
      <c r="N27" s="53"/>
      <c r="O27" s="47"/>
      <c r="P27" s="53"/>
      <c r="Q27" s="47"/>
      <c r="R27" s="53"/>
      <c r="S27" s="58"/>
      <c r="T27" s="54">
        <v>125000</v>
      </c>
      <c r="U27" s="54">
        <v>150000</v>
      </c>
      <c r="V27" s="54">
        <v>150000</v>
      </c>
      <c r="W27" s="54">
        <v>150000</v>
      </c>
      <c r="X27" s="54">
        <v>60000</v>
      </c>
      <c r="Y27" s="53"/>
      <c r="Z27" s="53"/>
      <c r="AA27" s="53"/>
      <c r="AB27" s="53"/>
      <c r="AC27" s="53"/>
      <c r="AD27" s="47"/>
      <c r="AE27" s="53"/>
      <c r="AF27" s="53"/>
      <c r="AG27" s="47"/>
      <c r="AH27" s="53">
        <f t="shared" si="9"/>
        <v>635000</v>
      </c>
      <c r="AI27" s="51"/>
      <c r="AJ27" s="55" t="e">
        <f t="shared" si="11"/>
        <v>#REF!</v>
      </c>
    </row>
    <row r="28" spans="1:36" s="36" customFormat="1" ht="15.75" x14ac:dyDescent="0.25">
      <c r="A28" s="34" t="s">
        <v>78</v>
      </c>
      <c r="B28" s="35" t="s">
        <v>382</v>
      </c>
      <c r="C28" s="52" t="s">
        <v>380</v>
      </c>
      <c r="D28" s="52" t="s">
        <v>381</v>
      </c>
      <c r="E28" s="52" t="s">
        <v>320</v>
      </c>
      <c r="F28" s="52">
        <f>'Sheet 2'!T16</f>
        <v>44136</v>
      </c>
      <c r="G28" s="52">
        <f>'Sheet 2'!U16</f>
        <v>44286</v>
      </c>
      <c r="H28" s="50">
        <f t="shared" si="10"/>
        <v>4.9833887043189371</v>
      </c>
      <c r="I28" s="53">
        <f>'Sheet 2'!S16</f>
        <v>165000</v>
      </c>
      <c r="J28" s="53"/>
      <c r="K28" s="53"/>
      <c r="L28" s="53"/>
      <c r="M28" s="53"/>
      <c r="N28" s="53"/>
      <c r="O28" s="47"/>
      <c r="P28" s="54">
        <v>32120</v>
      </c>
      <c r="Q28" s="47"/>
      <c r="R28" s="53"/>
      <c r="S28" s="53"/>
      <c r="T28" s="34"/>
      <c r="U28" s="34"/>
      <c r="V28" s="34"/>
      <c r="W28" s="54">
        <v>50000</v>
      </c>
      <c r="X28" s="54">
        <v>75000</v>
      </c>
      <c r="Y28" s="54">
        <v>125000</v>
      </c>
      <c r="Z28" s="54">
        <v>125000</v>
      </c>
      <c r="AA28" s="54">
        <v>125000</v>
      </c>
      <c r="AB28" s="54">
        <v>67880</v>
      </c>
      <c r="AC28" s="53"/>
      <c r="AD28" s="47"/>
      <c r="AE28" s="53"/>
      <c r="AF28" s="53"/>
      <c r="AG28" s="47"/>
      <c r="AH28" s="53">
        <f t="shared" ref="AH28:AH35" si="12">SUM(P28:AG28)</f>
        <v>600000</v>
      </c>
      <c r="AI28" s="51"/>
      <c r="AJ28" s="55">
        <f t="shared" si="11"/>
        <v>-435000</v>
      </c>
    </row>
    <row r="29" spans="1:36" s="36" customFormat="1" ht="15.75" x14ac:dyDescent="0.25">
      <c r="A29" s="34" t="s">
        <v>383</v>
      </c>
      <c r="B29" s="35" t="s">
        <v>384</v>
      </c>
      <c r="C29" s="52" t="s">
        <v>380</v>
      </c>
      <c r="D29" s="52" t="s">
        <v>381</v>
      </c>
      <c r="E29" s="52" t="s">
        <v>320</v>
      </c>
      <c r="F29" s="52">
        <f>'Sheet 2'!T19</f>
        <v>44228</v>
      </c>
      <c r="G29" s="52">
        <f>'Sheet 2'!U19</f>
        <v>44501</v>
      </c>
      <c r="H29" s="50">
        <f t="shared" si="10"/>
        <v>9.0697674418604652</v>
      </c>
      <c r="I29" s="53">
        <f>'Sheet 2'!S19</f>
        <v>1125000</v>
      </c>
      <c r="J29" s="53"/>
      <c r="K29" s="53"/>
      <c r="L29" s="53"/>
      <c r="M29" s="53"/>
      <c r="N29" s="53"/>
      <c r="O29" s="47"/>
      <c r="P29" s="54">
        <v>65749</v>
      </c>
      <c r="Q29" s="47"/>
      <c r="R29" s="53"/>
      <c r="S29" s="34"/>
      <c r="T29" s="54">
        <v>50000</v>
      </c>
      <c r="U29" s="54">
        <v>85000</v>
      </c>
      <c r="V29" s="54">
        <v>85000</v>
      </c>
      <c r="W29" s="54">
        <v>85000</v>
      </c>
      <c r="X29" s="54">
        <v>85000</v>
      </c>
      <c r="Y29" s="54">
        <v>85000</v>
      </c>
      <c r="Z29" s="54">
        <v>85000</v>
      </c>
      <c r="AA29" s="54">
        <v>50000</v>
      </c>
      <c r="AB29" s="54">
        <v>24251</v>
      </c>
      <c r="AC29" s="53"/>
      <c r="AD29" s="47"/>
      <c r="AE29" s="53"/>
      <c r="AF29" s="53"/>
      <c r="AG29" s="47"/>
      <c r="AH29" s="53">
        <f t="shared" si="12"/>
        <v>700000</v>
      </c>
      <c r="AI29" s="51"/>
      <c r="AJ29" s="55">
        <f t="shared" si="11"/>
        <v>425000</v>
      </c>
    </row>
    <row r="30" spans="1:36" s="36" customFormat="1" ht="15.75" x14ac:dyDescent="0.25">
      <c r="A30" s="34" t="s">
        <v>92</v>
      </c>
      <c r="B30" s="35" t="s">
        <v>93</v>
      </c>
      <c r="C30" s="52" t="s">
        <v>380</v>
      </c>
      <c r="D30" s="52" t="s">
        <v>381</v>
      </c>
      <c r="E30" s="52" t="s">
        <v>320</v>
      </c>
      <c r="F30" s="109">
        <f>'Sheet 2'!T20</f>
        <v>44224</v>
      </c>
      <c r="G30" s="109">
        <f>'Sheet 2'!U20</f>
        <v>44490</v>
      </c>
      <c r="H30" s="50">
        <f t="shared" si="10"/>
        <v>8.8372093023255811</v>
      </c>
      <c r="I30" s="53">
        <f>'Sheet 2'!S20</f>
        <v>1650000</v>
      </c>
      <c r="J30" s="53"/>
      <c r="K30" s="53"/>
      <c r="L30" s="53"/>
      <c r="M30" s="53"/>
      <c r="N30" s="53"/>
      <c r="O30" s="47"/>
      <c r="P30" s="54">
        <v>91138</v>
      </c>
      <c r="Q30" s="47"/>
      <c r="R30" s="53"/>
      <c r="S30" s="34"/>
      <c r="T30" s="54">
        <v>100000</v>
      </c>
      <c r="U30" s="54">
        <v>150000</v>
      </c>
      <c r="V30" s="54">
        <v>150000</v>
      </c>
      <c r="W30" s="54">
        <v>150000</v>
      </c>
      <c r="X30" s="54">
        <v>150000</v>
      </c>
      <c r="Y30" s="54">
        <v>150000</v>
      </c>
      <c r="Z30" s="54">
        <v>150000</v>
      </c>
      <c r="AA30" s="54">
        <v>150000</v>
      </c>
      <c r="AB30" s="54">
        <v>133862</v>
      </c>
      <c r="AC30" s="54"/>
      <c r="AD30" s="47"/>
      <c r="AE30" s="54"/>
      <c r="AF30" s="53"/>
      <c r="AG30" s="47"/>
      <c r="AH30" s="53">
        <f t="shared" si="12"/>
        <v>1375000</v>
      </c>
      <c r="AI30" s="51"/>
      <c r="AJ30" s="55">
        <f t="shared" si="11"/>
        <v>275000</v>
      </c>
    </row>
    <row r="31" spans="1:36" s="36" customFormat="1" ht="15.75" x14ac:dyDescent="0.25">
      <c r="A31" s="34" t="s">
        <v>96</v>
      </c>
      <c r="B31" s="35" t="s">
        <v>97</v>
      </c>
      <c r="C31" s="52" t="s">
        <v>380</v>
      </c>
      <c r="D31" s="52" t="s">
        <v>381</v>
      </c>
      <c r="E31" s="52" t="s">
        <v>320</v>
      </c>
      <c r="F31" s="109" t="str">
        <f>'Sheet 2'!T28</f>
        <v>HOLD</v>
      </c>
      <c r="G31" s="109" t="str">
        <f>'Sheet 2'!U28</f>
        <v>HOLD</v>
      </c>
      <c r="H31" s="50" t="e">
        <f t="shared" si="10"/>
        <v>#VALUE!</v>
      </c>
      <c r="I31" s="53">
        <f>'Sheet 2'!S28</f>
        <v>2500000</v>
      </c>
      <c r="J31" s="53"/>
      <c r="K31" s="53"/>
      <c r="L31" s="53"/>
      <c r="M31" s="53"/>
      <c r="N31" s="53"/>
      <c r="O31" s="47"/>
      <c r="P31" s="54">
        <v>124344</v>
      </c>
      <c r="Q31" s="47"/>
      <c r="R31" s="53"/>
      <c r="S31" s="34"/>
      <c r="T31" s="54">
        <v>25000</v>
      </c>
      <c r="U31" s="54">
        <v>65000</v>
      </c>
      <c r="V31" s="54">
        <v>65000</v>
      </c>
      <c r="W31" s="54">
        <v>65000</v>
      </c>
      <c r="X31" s="54">
        <v>65000</v>
      </c>
      <c r="Y31" s="54">
        <v>65000</v>
      </c>
      <c r="Z31" s="54">
        <v>65000</v>
      </c>
      <c r="AA31" s="54">
        <v>60000</v>
      </c>
      <c r="AB31" s="54">
        <v>50656</v>
      </c>
      <c r="AC31" s="53"/>
      <c r="AD31" s="47"/>
      <c r="AE31" s="53"/>
      <c r="AF31" s="53"/>
      <c r="AG31" s="47"/>
      <c r="AH31" s="53">
        <f t="shared" si="12"/>
        <v>650000</v>
      </c>
      <c r="AI31" s="51"/>
      <c r="AJ31" s="55">
        <f t="shared" si="11"/>
        <v>1850000</v>
      </c>
    </row>
    <row r="32" spans="1:36" s="36" customFormat="1" ht="15.75" x14ac:dyDescent="0.25">
      <c r="A32" s="60" t="s">
        <v>99</v>
      </c>
      <c r="B32" s="61" t="s">
        <v>100</v>
      </c>
      <c r="C32" s="52" t="s">
        <v>380</v>
      </c>
      <c r="D32" s="52" t="s">
        <v>381</v>
      </c>
      <c r="E32" s="52" t="s">
        <v>320</v>
      </c>
      <c r="F32" s="109" t="e">
        <f>#REF!</f>
        <v>#REF!</v>
      </c>
      <c r="G32" s="109" t="e">
        <f>#REF!</f>
        <v>#REF!</v>
      </c>
      <c r="H32" s="50" t="e">
        <f t="shared" si="10"/>
        <v>#REF!</v>
      </c>
      <c r="I32" s="53" t="e">
        <f>#REF!</f>
        <v>#REF!</v>
      </c>
      <c r="J32" s="53"/>
      <c r="K32" s="53"/>
      <c r="L32" s="53"/>
      <c r="M32" s="53"/>
      <c r="N32" s="53"/>
      <c r="O32" s="47"/>
      <c r="P32" s="54">
        <v>14681</v>
      </c>
      <c r="Q32" s="47"/>
      <c r="R32" s="53"/>
      <c r="S32" s="34"/>
      <c r="T32" s="54">
        <v>25000</v>
      </c>
      <c r="U32" s="54">
        <v>50000</v>
      </c>
      <c r="V32" s="54">
        <v>50000</v>
      </c>
      <c r="W32" s="54">
        <v>50000</v>
      </c>
      <c r="X32" s="54">
        <v>50000</v>
      </c>
      <c r="Y32" s="54">
        <v>50000</v>
      </c>
      <c r="Z32" s="54">
        <v>50000</v>
      </c>
      <c r="AA32" s="54">
        <v>50000</v>
      </c>
      <c r="AB32" s="54">
        <v>10319</v>
      </c>
      <c r="AC32" s="53"/>
      <c r="AD32" s="47"/>
      <c r="AE32" s="53"/>
      <c r="AF32" s="53"/>
      <c r="AG32" s="47"/>
      <c r="AH32" s="53">
        <f t="shared" si="12"/>
        <v>400000</v>
      </c>
      <c r="AI32" s="51"/>
      <c r="AJ32" s="55" t="e">
        <f t="shared" si="11"/>
        <v>#REF!</v>
      </c>
    </row>
    <row r="33" spans="1:36" s="36" customFormat="1" ht="15.75" x14ac:dyDescent="0.25">
      <c r="A33" s="34" t="s">
        <v>82</v>
      </c>
      <c r="B33" s="35" t="s">
        <v>83</v>
      </c>
      <c r="C33" s="52" t="s">
        <v>380</v>
      </c>
      <c r="D33" s="52" t="s">
        <v>381</v>
      </c>
      <c r="E33" s="52" t="s">
        <v>320</v>
      </c>
      <c r="F33" s="52" t="e">
        <f>#REF!</f>
        <v>#REF!</v>
      </c>
      <c r="G33" s="52" t="e">
        <f>#REF!</f>
        <v>#REF!</v>
      </c>
      <c r="H33" s="50" t="e">
        <f t="shared" si="10"/>
        <v>#REF!</v>
      </c>
      <c r="I33" s="53" t="e">
        <f>#REF!</f>
        <v>#REF!</v>
      </c>
      <c r="J33" s="53"/>
      <c r="K33" s="53"/>
      <c r="L33" s="53"/>
      <c r="M33" s="53"/>
      <c r="N33" s="53"/>
      <c r="O33" s="47"/>
      <c r="P33" s="53">
        <v>0</v>
      </c>
      <c r="Q33" s="47"/>
      <c r="R33" s="53"/>
      <c r="S33" s="53">
        <v>0</v>
      </c>
      <c r="T33" s="34"/>
      <c r="U33" s="34"/>
      <c r="V33" s="34"/>
      <c r="W33" s="54">
        <v>50000</v>
      </c>
      <c r="X33" s="54">
        <v>100000</v>
      </c>
      <c r="Y33" s="54">
        <v>100000</v>
      </c>
      <c r="Z33" s="54">
        <v>100000</v>
      </c>
      <c r="AA33" s="54">
        <v>100000</v>
      </c>
      <c r="AB33" s="54">
        <v>50000</v>
      </c>
      <c r="AC33" s="53"/>
      <c r="AD33" s="47"/>
      <c r="AE33" s="53"/>
      <c r="AF33" s="53"/>
      <c r="AG33" s="47"/>
      <c r="AH33" s="53">
        <f t="shared" si="12"/>
        <v>500000</v>
      </c>
      <c r="AI33" s="51"/>
      <c r="AJ33" s="55" t="e">
        <f t="shared" si="11"/>
        <v>#REF!</v>
      </c>
    </row>
    <row r="34" spans="1:36" s="36" customFormat="1" ht="15.75" x14ac:dyDescent="0.25">
      <c r="A34" s="34" t="s">
        <v>84</v>
      </c>
      <c r="B34" s="35" t="s">
        <v>85</v>
      </c>
      <c r="C34" s="52" t="s">
        <v>380</v>
      </c>
      <c r="D34" s="52" t="s">
        <v>381</v>
      </c>
      <c r="E34" s="52" t="s">
        <v>320</v>
      </c>
      <c r="F34" s="52">
        <f>'Sheet 2'!T18</f>
        <v>44136</v>
      </c>
      <c r="G34" s="52">
        <f>'Sheet 2'!U18</f>
        <v>44484</v>
      </c>
      <c r="H34" s="50">
        <f t="shared" si="10"/>
        <v>11.561461794019934</v>
      </c>
      <c r="I34" s="53">
        <f>'Sheet 2'!S18</f>
        <v>1750000</v>
      </c>
      <c r="J34" s="53"/>
      <c r="K34" s="53"/>
      <c r="L34" s="53"/>
      <c r="M34" s="53"/>
      <c r="N34" s="53"/>
      <c r="O34" s="47"/>
      <c r="P34" s="53">
        <v>0</v>
      </c>
      <c r="Q34" s="47"/>
      <c r="R34" s="53"/>
      <c r="S34" s="53">
        <v>0</v>
      </c>
      <c r="T34" s="34"/>
      <c r="U34" s="34"/>
      <c r="V34" s="34"/>
      <c r="W34" s="54">
        <v>75000</v>
      </c>
      <c r="X34" s="54">
        <v>100000</v>
      </c>
      <c r="Y34" s="54">
        <v>125000</v>
      </c>
      <c r="Z34" s="54">
        <v>125000</v>
      </c>
      <c r="AA34" s="54">
        <v>100000</v>
      </c>
      <c r="AB34" s="54">
        <v>50000</v>
      </c>
      <c r="AC34" s="53"/>
      <c r="AD34" s="47"/>
      <c r="AE34" s="53"/>
      <c r="AF34" s="53"/>
      <c r="AG34" s="47"/>
      <c r="AH34" s="53">
        <f t="shared" si="12"/>
        <v>575000</v>
      </c>
      <c r="AI34" s="51"/>
      <c r="AJ34" s="55">
        <f t="shared" si="11"/>
        <v>1175000</v>
      </c>
    </row>
    <row r="35" spans="1:36" s="36" customFormat="1" ht="15.75" x14ac:dyDescent="0.25">
      <c r="A35" s="34" t="s">
        <v>102</v>
      </c>
      <c r="B35" s="35" t="s">
        <v>385</v>
      </c>
      <c r="C35" s="52" t="s">
        <v>380</v>
      </c>
      <c r="D35" s="52" t="s">
        <v>381</v>
      </c>
      <c r="E35" s="52" t="s">
        <v>320</v>
      </c>
      <c r="F35" s="52">
        <f>'Sheet 2'!T10</f>
        <v>44317</v>
      </c>
      <c r="G35" s="52">
        <f>'Sheet 2'!U10</f>
        <v>44446</v>
      </c>
      <c r="H35" s="52" t="s">
        <v>24</v>
      </c>
      <c r="I35" s="86">
        <v>0</v>
      </c>
      <c r="J35" s="53"/>
      <c r="K35" s="53"/>
      <c r="L35" s="53"/>
      <c r="M35" s="53"/>
      <c r="N35" s="53"/>
      <c r="O35" s="47"/>
      <c r="P35" s="53">
        <v>0</v>
      </c>
      <c r="Q35" s="47"/>
      <c r="R35" s="53"/>
      <c r="S35" s="58"/>
      <c r="T35" s="58"/>
      <c r="U35" s="58"/>
      <c r="V35" s="58"/>
      <c r="W35" s="53"/>
      <c r="X35" s="53"/>
      <c r="Y35" s="53"/>
      <c r="Z35" s="53"/>
      <c r="AA35" s="53"/>
      <c r="AB35" s="53"/>
      <c r="AC35" s="53"/>
      <c r="AD35" s="47"/>
      <c r="AE35" s="53"/>
      <c r="AF35" s="53"/>
      <c r="AG35" s="47"/>
      <c r="AH35" s="53">
        <f t="shared" si="12"/>
        <v>0</v>
      </c>
      <c r="AI35" s="51"/>
      <c r="AJ35" s="55">
        <f t="shared" si="11"/>
        <v>0</v>
      </c>
    </row>
    <row r="36" spans="1:36" s="36" customFormat="1" ht="15.75" x14ac:dyDescent="0.25">
      <c r="A36" s="34" t="s">
        <v>107</v>
      </c>
      <c r="B36" s="35" t="s">
        <v>108</v>
      </c>
      <c r="C36" s="52" t="s">
        <v>380</v>
      </c>
      <c r="D36" s="52" t="s">
        <v>381</v>
      </c>
      <c r="E36" s="52" t="s">
        <v>320</v>
      </c>
      <c r="F36" s="52" t="e">
        <f>#REF!</f>
        <v>#REF!</v>
      </c>
      <c r="G36" s="52" t="e">
        <f>#REF!</f>
        <v>#REF!</v>
      </c>
      <c r="H36" s="50" t="e">
        <f t="shared" si="10"/>
        <v>#REF!</v>
      </c>
      <c r="I36" s="53" t="e">
        <f>#REF!</f>
        <v>#REF!</v>
      </c>
      <c r="J36" s="53"/>
      <c r="K36" s="53"/>
      <c r="L36" s="53"/>
      <c r="M36" s="53"/>
      <c r="N36" s="53"/>
      <c r="O36" s="47"/>
      <c r="P36" s="53">
        <v>0</v>
      </c>
      <c r="Q36" s="47"/>
      <c r="R36" s="53"/>
      <c r="U36" s="54">
        <v>25000</v>
      </c>
      <c r="V36" s="54">
        <v>25000</v>
      </c>
      <c r="W36" s="54">
        <v>50000</v>
      </c>
      <c r="X36" s="54">
        <v>50000</v>
      </c>
      <c r="Y36" s="54">
        <v>25000</v>
      </c>
      <c r="Z36" s="53"/>
      <c r="AA36" s="53"/>
      <c r="AB36" s="53"/>
      <c r="AC36" s="53"/>
      <c r="AD36" s="47"/>
      <c r="AE36" s="53"/>
      <c r="AF36" s="53"/>
      <c r="AG36" s="47"/>
      <c r="AH36" s="53">
        <f t="shared" ref="AH36:AH65" si="13">SUM(P36:AG36)</f>
        <v>175000</v>
      </c>
      <c r="AI36" s="51"/>
      <c r="AJ36" s="55" t="e">
        <f t="shared" si="11"/>
        <v>#REF!</v>
      </c>
    </row>
    <row r="37" spans="1:36" s="36" customFormat="1" ht="15.75" x14ac:dyDescent="0.25">
      <c r="A37" s="93"/>
      <c r="B37" s="94"/>
      <c r="C37" s="91"/>
      <c r="D37" s="91"/>
      <c r="E37" s="91"/>
      <c r="F37" s="91"/>
      <c r="G37" s="91"/>
      <c r="H37" s="92"/>
      <c r="I37" s="59" t="e">
        <f>SUM(I24:N36)</f>
        <v>#REF!</v>
      </c>
      <c r="J37" s="59"/>
      <c r="K37" s="59"/>
      <c r="L37" s="59"/>
      <c r="M37" s="59"/>
      <c r="N37" s="59"/>
      <c r="O37" s="47"/>
      <c r="P37" s="59">
        <f>SUM(P24:P36)</f>
        <v>3100203</v>
      </c>
      <c r="Q37" s="47"/>
      <c r="R37" s="59">
        <f t="shared" ref="R37:AC37" si="14">SUM(R24:R36)</f>
        <v>100000</v>
      </c>
      <c r="S37" s="59">
        <f t="shared" si="14"/>
        <v>10000</v>
      </c>
      <c r="T37" s="59">
        <f t="shared" si="14"/>
        <v>463948</v>
      </c>
      <c r="U37" s="59">
        <f t="shared" si="14"/>
        <v>575000</v>
      </c>
      <c r="V37" s="59">
        <f t="shared" si="14"/>
        <v>575000</v>
      </c>
      <c r="W37" s="59">
        <f t="shared" si="14"/>
        <v>752819</v>
      </c>
      <c r="X37" s="59">
        <f t="shared" si="14"/>
        <v>735000</v>
      </c>
      <c r="Y37" s="59">
        <f t="shared" si="14"/>
        <v>725000</v>
      </c>
      <c r="Z37" s="59">
        <f t="shared" si="14"/>
        <v>700000</v>
      </c>
      <c r="AA37" s="59">
        <f t="shared" si="14"/>
        <v>635000</v>
      </c>
      <c r="AB37" s="59">
        <f t="shared" si="14"/>
        <v>386968</v>
      </c>
      <c r="AC37" s="59">
        <f t="shared" si="14"/>
        <v>0</v>
      </c>
      <c r="AD37" s="47"/>
      <c r="AE37" s="59">
        <f>SUM(AE24:AE36)</f>
        <v>0</v>
      </c>
      <c r="AF37" s="59">
        <f>SUM(AF24:AF36)</f>
        <v>0</v>
      </c>
      <c r="AG37" s="47"/>
      <c r="AH37" s="53">
        <f t="shared" si="13"/>
        <v>8758938</v>
      </c>
      <c r="AI37" s="51"/>
      <c r="AJ37" s="55" t="e">
        <f t="shared" si="11"/>
        <v>#REF!</v>
      </c>
    </row>
    <row r="38" spans="1:36" s="36" customFormat="1" ht="15.75" x14ac:dyDescent="0.25">
      <c r="A38" s="106" t="s">
        <v>115</v>
      </c>
      <c r="B38" s="107"/>
      <c r="C38" s="101" t="s">
        <v>386</v>
      </c>
      <c r="D38" s="102"/>
      <c r="E38" s="102"/>
      <c r="F38" s="102"/>
      <c r="G38" s="102"/>
      <c r="H38" s="84"/>
      <c r="I38" s="103"/>
      <c r="J38" s="103"/>
      <c r="K38" s="103"/>
      <c r="L38" s="103"/>
      <c r="M38" s="103"/>
      <c r="N38" s="103"/>
      <c r="O38" s="47"/>
      <c r="P38" s="103"/>
      <c r="Q38" s="47"/>
      <c r="R38" s="85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47"/>
      <c r="AE38" s="103"/>
      <c r="AF38" s="103"/>
      <c r="AG38" s="47"/>
      <c r="AH38" s="85"/>
      <c r="AI38" s="51"/>
      <c r="AJ38" s="55"/>
    </row>
    <row r="39" spans="1:36" s="36" customFormat="1" ht="15.75" x14ac:dyDescent="0.25">
      <c r="A39" s="60" t="str">
        <f>'Sheet 2'!A5</f>
        <v>OK2019</v>
      </c>
      <c r="B39" s="61" t="str">
        <f>'Sheet 2'!C5</f>
        <v>Santa Fe Development</v>
      </c>
      <c r="C39" s="52" t="s">
        <v>386</v>
      </c>
      <c r="D39" s="52"/>
      <c r="E39" s="52" t="s">
        <v>370</v>
      </c>
      <c r="F39" s="52">
        <f>'Sheet 2'!T5</f>
        <v>44319</v>
      </c>
      <c r="G39" s="52">
        <f>'Sheet 2'!U5</f>
        <v>44571</v>
      </c>
      <c r="H39" s="50">
        <f>((G39-F39)/7)/4.3</f>
        <v>8.3720930232558146</v>
      </c>
      <c r="I39" s="53">
        <f>'Sheet 2'!S5</f>
        <v>1000000</v>
      </c>
      <c r="J39" s="53"/>
      <c r="K39" s="53"/>
      <c r="L39" s="53"/>
      <c r="M39" s="53"/>
      <c r="N39" s="53"/>
      <c r="O39" s="47"/>
      <c r="P39" s="58">
        <v>0</v>
      </c>
      <c r="Q39" s="47"/>
      <c r="R39" s="58"/>
      <c r="S39" s="58"/>
      <c r="T39" s="54">
        <f>30000/4</f>
        <v>7500</v>
      </c>
      <c r="U39" s="54">
        <f>30000/4</f>
        <v>7500</v>
      </c>
      <c r="V39" s="54">
        <f>30000/4</f>
        <v>7500</v>
      </c>
      <c r="W39" s="54">
        <f>30000/4</f>
        <v>7500</v>
      </c>
      <c r="X39" s="53"/>
      <c r="Y39" s="53"/>
      <c r="Z39" s="53"/>
      <c r="AA39" s="53"/>
      <c r="AB39" s="53"/>
      <c r="AC39" s="53"/>
      <c r="AD39" s="47"/>
      <c r="AE39" s="53"/>
      <c r="AF39" s="53"/>
      <c r="AG39" s="47"/>
      <c r="AH39" s="53">
        <f>SUM(P39:AG39)</f>
        <v>30000</v>
      </c>
      <c r="AI39" s="51"/>
      <c r="AJ39" s="55">
        <f>I39-AH39</f>
        <v>970000</v>
      </c>
    </row>
    <row r="40" spans="1:36" s="36" customFormat="1" ht="15.75" x14ac:dyDescent="0.25">
      <c r="A40" s="94"/>
      <c r="B40" s="96"/>
      <c r="C40" s="91"/>
      <c r="D40" s="91"/>
      <c r="E40" s="91"/>
      <c r="F40" s="91"/>
      <c r="G40" s="91"/>
      <c r="H40" s="92"/>
      <c r="I40" s="59">
        <f>SUM(I39)</f>
        <v>1000000</v>
      </c>
      <c r="J40" s="59"/>
      <c r="K40" s="59"/>
      <c r="L40" s="59"/>
      <c r="M40" s="59"/>
      <c r="N40" s="59"/>
      <c r="O40" s="47"/>
      <c r="P40" s="59">
        <f>SUM(P39)</f>
        <v>0</v>
      </c>
      <c r="Q40" s="47"/>
      <c r="R40" s="59">
        <f>SUM(R39)</f>
        <v>0</v>
      </c>
      <c r="S40" s="59">
        <f t="shared" ref="S40:AC40" si="15">SUM(S39)</f>
        <v>0</v>
      </c>
      <c r="T40" s="59">
        <f t="shared" si="15"/>
        <v>7500</v>
      </c>
      <c r="U40" s="59">
        <f t="shared" si="15"/>
        <v>7500</v>
      </c>
      <c r="V40" s="59">
        <f t="shared" si="15"/>
        <v>7500</v>
      </c>
      <c r="W40" s="59">
        <f t="shared" si="15"/>
        <v>7500</v>
      </c>
      <c r="X40" s="59">
        <f t="shared" si="15"/>
        <v>0</v>
      </c>
      <c r="Y40" s="59">
        <f t="shared" si="15"/>
        <v>0</v>
      </c>
      <c r="Z40" s="59">
        <f t="shared" si="15"/>
        <v>0</v>
      </c>
      <c r="AA40" s="59">
        <f t="shared" si="15"/>
        <v>0</v>
      </c>
      <c r="AB40" s="59">
        <f t="shared" si="15"/>
        <v>0</v>
      </c>
      <c r="AC40" s="59">
        <f t="shared" si="15"/>
        <v>0</v>
      </c>
      <c r="AD40" s="47"/>
      <c r="AE40" s="59">
        <f>SUM(AE39)</f>
        <v>0</v>
      </c>
      <c r="AF40" s="59">
        <f>SUM(AF27:AF39)</f>
        <v>0</v>
      </c>
      <c r="AG40" s="47"/>
      <c r="AH40" s="53">
        <f>SUM(P40:AG40)</f>
        <v>30000</v>
      </c>
      <c r="AI40" s="51"/>
      <c r="AJ40" s="55">
        <f>I40-AH40</f>
        <v>970000</v>
      </c>
    </row>
    <row r="41" spans="1:36" s="36" customFormat="1" ht="15.75" x14ac:dyDescent="0.25">
      <c r="A41" s="106" t="s">
        <v>119</v>
      </c>
      <c r="B41" s="107"/>
      <c r="C41" s="101" t="s">
        <v>387</v>
      </c>
      <c r="D41" s="102"/>
      <c r="E41" s="102"/>
      <c r="F41" s="102"/>
      <c r="G41" s="102"/>
      <c r="H41" s="84"/>
      <c r="I41" s="103"/>
      <c r="J41" s="103"/>
      <c r="K41" s="103"/>
      <c r="L41" s="103"/>
      <c r="M41" s="103"/>
      <c r="N41" s="103"/>
      <c r="O41" s="47"/>
      <c r="P41" s="103"/>
      <c r="Q41" s="47"/>
      <c r="R41" s="85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47"/>
      <c r="AE41" s="103"/>
      <c r="AF41" s="103"/>
      <c r="AG41" s="47"/>
      <c r="AH41" s="85"/>
      <c r="AI41" s="51"/>
      <c r="AJ41" s="55"/>
    </row>
    <row r="42" spans="1:36" s="36" customFormat="1" ht="15.75" x14ac:dyDescent="0.25">
      <c r="A42" s="64" t="s">
        <v>116</v>
      </c>
      <c r="B42" s="65" t="s">
        <v>117</v>
      </c>
      <c r="C42" s="52" t="s">
        <v>387</v>
      </c>
      <c r="D42" s="52" t="s">
        <v>371</v>
      </c>
      <c r="E42" s="52" t="s">
        <v>370</v>
      </c>
      <c r="F42" s="52">
        <f>'Sheet 2'!T11</f>
        <v>44290</v>
      </c>
      <c r="G42" s="52">
        <f>'Sheet 2'!U11</f>
        <v>44466</v>
      </c>
      <c r="H42" s="50">
        <f t="shared" ref="H42:H55" si="16">((G42-F42)/7)/4.3</f>
        <v>5.8471760797342194</v>
      </c>
      <c r="I42" s="53">
        <f>'Sheet 2'!S11</f>
        <v>700000</v>
      </c>
      <c r="J42" s="53">
        <v>819670</v>
      </c>
      <c r="K42" s="53"/>
      <c r="L42" s="53"/>
      <c r="M42" s="53"/>
      <c r="N42" s="53"/>
      <c r="O42" s="47"/>
      <c r="P42" s="54">
        <v>745760</v>
      </c>
      <c r="Q42" s="47"/>
      <c r="R42" s="54">
        <v>105645</v>
      </c>
      <c r="S42" s="54">
        <v>98595</v>
      </c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47"/>
      <c r="AE42" s="53"/>
      <c r="AF42" s="53"/>
      <c r="AG42" s="47"/>
      <c r="AH42" s="53">
        <f t="shared" si="13"/>
        <v>950000</v>
      </c>
      <c r="AI42" s="51"/>
      <c r="AJ42" s="55">
        <f t="shared" ref="AJ42:AJ57" si="17">I42-AH42</f>
        <v>-250000</v>
      </c>
    </row>
    <row r="43" spans="1:36" s="36" customFormat="1" ht="15.75" x14ac:dyDescent="0.25">
      <c r="A43" s="56" t="s">
        <v>121</v>
      </c>
      <c r="B43" s="57" t="s">
        <v>122</v>
      </c>
      <c r="C43" s="52" t="s">
        <v>387</v>
      </c>
      <c r="D43" s="52" t="s">
        <v>371</v>
      </c>
      <c r="E43" s="52" t="s">
        <v>370</v>
      </c>
      <c r="F43" s="52">
        <f>'Sheet 2'!T6</f>
        <v>44319</v>
      </c>
      <c r="G43" s="52">
        <f>'Sheet 2'!U6</f>
        <v>44559.8</v>
      </c>
      <c r="H43" s="50">
        <f t="shared" si="16"/>
        <v>8.0000000000000977</v>
      </c>
      <c r="I43" s="53">
        <f>'Sheet 2'!S6</f>
        <v>975000</v>
      </c>
      <c r="J43" s="53">
        <v>142789</v>
      </c>
      <c r="K43" s="53"/>
      <c r="L43" s="53"/>
      <c r="M43" s="53"/>
      <c r="N43" s="53"/>
      <c r="O43" s="47"/>
      <c r="P43" s="54">
        <v>94173</v>
      </c>
      <c r="Q43" s="47"/>
      <c r="R43" s="54">
        <v>50000</v>
      </c>
      <c r="S43" s="54">
        <v>20827</v>
      </c>
      <c r="T43" s="58"/>
      <c r="U43" s="53"/>
      <c r="V43" s="53"/>
      <c r="W43" s="53"/>
      <c r="X43" s="53"/>
      <c r="Y43" s="53"/>
      <c r="Z43" s="53"/>
      <c r="AA43" s="53"/>
      <c r="AB43" s="53"/>
      <c r="AC43" s="53"/>
      <c r="AD43" s="47"/>
      <c r="AE43" s="53"/>
      <c r="AF43" s="53"/>
      <c r="AG43" s="47"/>
      <c r="AH43" s="53">
        <f t="shared" si="13"/>
        <v>165000</v>
      </c>
      <c r="AI43" s="51"/>
      <c r="AJ43" s="55">
        <f t="shared" si="17"/>
        <v>810000</v>
      </c>
    </row>
    <row r="44" spans="1:36" s="36" customFormat="1" ht="15.75" x14ac:dyDescent="0.25">
      <c r="A44" s="56" t="s">
        <v>124</v>
      </c>
      <c r="B44" s="57" t="s">
        <v>125</v>
      </c>
      <c r="C44" s="52" t="s">
        <v>387</v>
      </c>
      <c r="D44" s="52" t="s">
        <v>371</v>
      </c>
      <c r="E44" s="52" t="s">
        <v>370</v>
      </c>
      <c r="F44" s="52" t="e">
        <f>'Sheet 2'!T29</f>
        <v>#VALUE!</v>
      </c>
      <c r="G44" s="52" t="e">
        <f>'Sheet 2'!U29</f>
        <v>#VALUE!</v>
      </c>
      <c r="H44" s="50" t="e">
        <f t="shared" si="16"/>
        <v>#VALUE!</v>
      </c>
      <c r="I44" s="53">
        <f>'Sheet 2'!S29</f>
        <v>400000</v>
      </c>
      <c r="J44" s="53">
        <v>272772</v>
      </c>
      <c r="K44" s="53"/>
      <c r="L44" s="53"/>
      <c r="M44" s="53"/>
      <c r="N44" s="53"/>
      <c r="O44" s="47"/>
      <c r="P44" s="54">
        <v>176191</v>
      </c>
      <c r="Q44" s="47"/>
      <c r="R44" s="54">
        <v>75000</v>
      </c>
      <c r="S44" s="54">
        <v>63809</v>
      </c>
      <c r="T44" s="58"/>
      <c r="U44" s="53"/>
      <c r="V44" s="53"/>
      <c r="W44" s="53"/>
      <c r="X44" s="53"/>
      <c r="Y44" s="53"/>
      <c r="Z44" s="53"/>
      <c r="AA44" s="53"/>
      <c r="AB44" s="53"/>
      <c r="AC44" s="53"/>
      <c r="AD44" s="47"/>
      <c r="AE44" s="53"/>
      <c r="AF44" s="53"/>
      <c r="AG44" s="47"/>
      <c r="AH44" s="53">
        <f t="shared" si="13"/>
        <v>315000</v>
      </c>
      <c r="AI44" s="51"/>
      <c r="AJ44" s="55">
        <f t="shared" si="17"/>
        <v>85000</v>
      </c>
    </row>
    <row r="45" spans="1:36" s="36" customFormat="1" ht="15.75" x14ac:dyDescent="0.25">
      <c r="A45" s="56" t="s">
        <v>129</v>
      </c>
      <c r="B45" s="57" t="s">
        <v>130</v>
      </c>
      <c r="C45" s="52" t="s">
        <v>387</v>
      </c>
      <c r="D45" s="52" t="s">
        <v>388</v>
      </c>
      <c r="E45" s="52" t="s">
        <v>370</v>
      </c>
      <c r="F45" s="52">
        <f>'Sheet 2'!T49</f>
        <v>44340</v>
      </c>
      <c r="G45" s="52">
        <f>'Sheet 2'!U49</f>
        <v>44369</v>
      </c>
      <c r="H45" s="50">
        <f t="shared" si="16"/>
        <v>0.96345514950166122</v>
      </c>
      <c r="I45" s="53">
        <f>'Sheet 2'!S49</f>
        <v>100000</v>
      </c>
      <c r="J45" s="53"/>
      <c r="K45" s="53"/>
      <c r="L45" s="53"/>
      <c r="M45" s="53"/>
      <c r="N45" s="53"/>
      <c r="O45" s="47"/>
      <c r="P45" s="54">
        <v>621560</v>
      </c>
      <c r="Q45" s="47"/>
      <c r="R45" s="54">
        <v>110730</v>
      </c>
      <c r="S45" s="54">
        <v>125000</v>
      </c>
      <c r="T45" s="54">
        <v>150000</v>
      </c>
      <c r="U45" s="54">
        <v>175000</v>
      </c>
      <c r="V45" s="54">
        <v>175000</v>
      </c>
      <c r="W45" s="54">
        <v>150000</v>
      </c>
      <c r="X45" s="54">
        <v>150000</v>
      </c>
      <c r="Y45" s="54">
        <v>92710</v>
      </c>
      <c r="Z45" s="53"/>
      <c r="AA45" s="53"/>
      <c r="AB45" s="53"/>
      <c r="AC45" s="53"/>
      <c r="AD45" s="47"/>
      <c r="AE45" s="53"/>
      <c r="AF45" s="53"/>
      <c r="AG45" s="47"/>
      <c r="AH45" s="53">
        <f t="shared" si="13"/>
        <v>1750000</v>
      </c>
      <c r="AI45" s="51"/>
      <c r="AJ45" s="55">
        <f t="shared" si="17"/>
        <v>-1650000</v>
      </c>
    </row>
    <row r="46" spans="1:36" s="36" customFormat="1" ht="15.75" x14ac:dyDescent="0.25">
      <c r="A46" s="34" t="s">
        <v>134</v>
      </c>
      <c r="B46" s="35" t="s">
        <v>135</v>
      </c>
      <c r="C46" s="52" t="s">
        <v>387</v>
      </c>
      <c r="D46" s="109" t="s">
        <v>45</v>
      </c>
      <c r="E46" s="52" t="s">
        <v>370</v>
      </c>
      <c r="F46" s="52">
        <f>'Sheet 2'!T33</f>
        <v>0</v>
      </c>
      <c r="G46" s="52">
        <f>'Sheet 2'!U33</f>
        <v>0</v>
      </c>
      <c r="H46" s="50">
        <f t="shared" si="16"/>
        <v>0</v>
      </c>
      <c r="I46" s="53">
        <f>'Sheet 2'!S33</f>
        <v>10000000</v>
      </c>
      <c r="J46" s="53"/>
      <c r="K46" s="53"/>
      <c r="L46" s="53"/>
      <c r="M46" s="53"/>
      <c r="N46" s="53"/>
      <c r="O46" s="47"/>
      <c r="P46" s="54">
        <v>131243</v>
      </c>
      <c r="Q46" s="47"/>
      <c r="R46" s="58"/>
      <c r="S46" s="58"/>
      <c r="T46" s="54">
        <v>150000</v>
      </c>
      <c r="U46" s="54">
        <v>200000</v>
      </c>
      <c r="V46" s="54">
        <v>200000</v>
      </c>
      <c r="W46" s="54">
        <v>250000</v>
      </c>
      <c r="X46" s="54">
        <v>193757</v>
      </c>
      <c r="Y46" s="58"/>
      <c r="Z46" s="58"/>
      <c r="AA46" s="53"/>
      <c r="AB46" s="53"/>
      <c r="AC46" s="53"/>
      <c r="AD46" s="47"/>
      <c r="AE46" s="53"/>
      <c r="AF46" s="53"/>
      <c r="AG46" s="47"/>
      <c r="AH46" s="53">
        <f t="shared" si="13"/>
        <v>1125000</v>
      </c>
      <c r="AI46" s="51"/>
      <c r="AJ46" s="55">
        <f t="shared" si="17"/>
        <v>8875000</v>
      </c>
    </row>
    <row r="47" spans="1:36" s="36" customFormat="1" ht="15.75" x14ac:dyDescent="0.25">
      <c r="A47" s="56" t="s">
        <v>139</v>
      </c>
      <c r="B47" s="57" t="s">
        <v>140</v>
      </c>
      <c r="C47" s="52" t="s">
        <v>387</v>
      </c>
      <c r="D47" s="52" t="s">
        <v>389</v>
      </c>
      <c r="E47" s="52" t="s">
        <v>370</v>
      </c>
      <c r="F47" s="52">
        <f>'Sheet 2'!T34</f>
        <v>0</v>
      </c>
      <c r="G47" s="52">
        <f>'Sheet 2'!U34</f>
        <v>0</v>
      </c>
      <c r="H47" s="50">
        <f t="shared" si="16"/>
        <v>0</v>
      </c>
      <c r="I47" s="53">
        <f>'Sheet 2'!S34</f>
        <v>5000000</v>
      </c>
      <c r="J47" s="53">
        <v>1339023</v>
      </c>
      <c r="K47" s="53"/>
      <c r="L47" s="53"/>
      <c r="M47" s="53"/>
      <c r="N47" s="53"/>
      <c r="O47" s="47"/>
      <c r="P47" s="54">
        <v>103605</v>
      </c>
      <c r="Q47" s="47"/>
      <c r="R47" s="58"/>
      <c r="S47" s="54">
        <v>100000</v>
      </c>
      <c r="T47" s="54">
        <v>150000</v>
      </c>
      <c r="U47" s="54">
        <v>150000</v>
      </c>
      <c r="V47" s="54">
        <v>250000</v>
      </c>
      <c r="W47" s="54">
        <v>250000</v>
      </c>
      <c r="X47" s="54">
        <v>250000</v>
      </c>
      <c r="Y47" s="54">
        <v>250000</v>
      </c>
      <c r="Z47" s="54">
        <v>146395</v>
      </c>
      <c r="AA47" s="58"/>
      <c r="AB47" s="58"/>
      <c r="AC47" s="58"/>
      <c r="AD47" s="47"/>
      <c r="AE47" s="53"/>
      <c r="AF47" s="53"/>
      <c r="AG47" s="47"/>
      <c r="AH47" s="53">
        <f t="shared" si="13"/>
        <v>1650000</v>
      </c>
      <c r="AI47" s="51"/>
      <c r="AJ47" s="55">
        <f t="shared" si="17"/>
        <v>3350000</v>
      </c>
    </row>
    <row r="48" spans="1:36" s="36" customFormat="1" ht="15.75" x14ac:dyDescent="0.25">
      <c r="A48" s="34" t="s">
        <v>337</v>
      </c>
      <c r="B48" s="35" t="s">
        <v>390</v>
      </c>
      <c r="C48" s="52" t="s">
        <v>387</v>
      </c>
      <c r="D48" s="109" t="s">
        <v>45</v>
      </c>
      <c r="E48" s="52" t="s">
        <v>320</v>
      </c>
      <c r="F48" s="52" t="e">
        <f>#REF!</f>
        <v>#REF!</v>
      </c>
      <c r="G48" s="52" t="e">
        <f>#REF!</f>
        <v>#REF!</v>
      </c>
      <c r="H48" s="50" t="e">
        <f t="shared" si="16"/>
        <v>#REF!</v>
      </c>
      <c r="I48" s="53" t="e">
        <f>#REF!</f>
        <v>#REF!</v>
      </c>
      <c r="J48" s="53"/>
      <c r="K48" s="53"/>
      <c r="L48" s="53"/>
      <c r="M48" s="53"/>
      <c r="N48" s="53"/>
      <c r="O48" s="47"/>
      <c r="P48" s="53"/>
      <c r="Q48" s="47"/>
      <c r="R48" s="53"/>
      <c r="S48" s="53"/>
      <c r="T48" s="53"/>
      <c r="U48" s="53"/>
      <c r="V48" s="53"/>
      <c r="W48" s="54">
        <v>100000</v>
      </c>
      <c r="X48" s="54">
        <v>187500</v>
      </c>
      <c r="Y48" s="54">
        <v>187500</v>
      </c>
      <c r="Z48" s="54">
        <v>187500</v>
      </c>
      <c r="AA48" s="54">
        <v>187500</v>
      </c>
      <c r="AB48" s="54">
        <v>187500</v>
      </c>
      <c r="AC48" s="54">
        <v>187500</v>
      </c>
      <c r="AD48" s="47"/>
      <c r="AE48" s="54">
        <v>275000</v>
      </c>
      <c r="AF48" s="53"/>
      <c r="AG48" s="47"/>
      <c r="AH48" s="53">
        <f t="shared" si="13"/>
        <v>1500000</v>
      </c>
      <c r="AI48" s="51"/>
      <c r="AJ48" s="55" t="e">
        <f t="shared" si="17"/>
        <v>#REF!</v>
      </c>
    </row>
    <row r="49" spans="1:36" s="36" customFormat="1" ht="15.75" x14ac:dyDescent="0.25">
      <c r="A49" s="34" t="s">
        <v>143</v>
      </c>
      <c r="B49" s="35" t="s">
        <v>145</v>
      </c>
      <c r="C49" s="52" t="s">
        <v>387</v>
      </c>
      <c r="D49" s="109" t="s">
        <v>45</v>
      </c>
      <c r="E49" s="52" t="s">
        <v>320</v>
      </c>
      <c r="F49" s="52">
        <f>'Sheet 2'!T36</f>
        <v>0</v>
      </c>
      <c r="G49" s="52">
        <f>'Sheet 2'!U36</f>
        <v>0</v>
      </c>
      <c r="H49" s="50">
        <f t="shared" si="16"/>
        <v>0</v>
      </c>
      <c r="I49" s="53" t="str">
        <f>'Sheet 2'!S36</f>
        <v>HOLD</v>
      </c>
      <c r="J49" s="53"/>
      <c r="K49" s="53"/>
      <c r="L49" s="53"/>
      <c r="M49" s="53"/>
      <c r="N49" s="53"/>
      <c r="O49" s="47"/>
      <c r="P49" s="53"/>
      <c r="Q49" s="47"/>
      <c r="R49" s="53"/>
      <c r="S49" s="53"/>
      <c r="T49" s="53"/>
      <c r="U49" s="89"/>
      <c r="V49" s="89"/>
      <c r="W49" s="89"/>
      <c r="X49" s="89"/>
      <c r="Y49" s="54">
        <v>100000</v>
      </c>
      <c r="Z49" s="54">
        <v>100000</v>
      </c>
      <c r="AA49" s="54">
        <v>125000</v>
      </c>
      <c r="AB49" s="54">
        <v>125000</v>
      </c>
      <c r="AC49" s="54">
        <v>100000</v>
      </c>
      <c r="AD49" s="47"/>
      <c r="AE49" s="54">
        <v>50000</v>
      </c>
      <c r="AF49" s="53"/>
      <c r="AG49" s="47"/>
      <c r="AH49" s="53">
        <f t="shared" si="13"/>
        <v>600000</v>
      </c>
      <c r="AI49" s="51"/>
      <c r="AJ49" s="55" t="e">
        <f t="shared" si="17"/>
        <v>#VALUE!</v>
      </c>
    </row>
    <row r="50" spans="1:36" s="36" customFormat="1" ht="15.75" x14ac:dyDescent="0.25">
      <c r="A50" s="62" t="s">
        <v>150</v>
      </c>
      <c r="B50" s="63" t="s">
        <v>151</v>
      </c>
      <c r="C50" s="52" t="s">
        <v>387</v>
      </c>
      <c r="D50" s="109" t="s">
        <v>45</v>
      </c>
      <c r="E50" s="52" t="s">
        <v>320</v>
      </c>
      <c r="F50" s="52" t="e">
        <f>#REF!</f>
        <v>#REF!</v>
      </c>
      <c r="G50" s="52" t="e">
        <f>#REF!</f>
        <v>#REF!</v>
      </c>
      <c r="H50" s="50" t="e">
        <f t="shared" si="16"/>
        <v>#REF!</v>
      </c>
      <c r="I50" s="53" t="e">
        <f>#REF!</f>
        <v>#REF!</v>
      </c>
      <c r="J50" s="53"/>
      <c r="K50" s="53"/>
      <c r="L50" s="53"/>
      <c r="M50" s="53"/>
      <c r="N50" s="53"/>
      <c r="O50" s="47"/>
      <c r="P50" s="53"/>
      <c r="Q50" s="47"/>
      <c r="R50" s="53"/>
      <c r="S50" s="53"/>
      <c r="T50" s="53"/>
      <c r="U50" s="89"/>
      <c r="V50" s="89"/>
      <c r="W50" s="89"/>
      <c r="X50" s="89"/>
      <c r="Y50" s="54">
        <v>100000</v>
      </c>
      <c r="Z50" s="54">
        <v>150000</v>
      </c>
      <c r="AA50" s="54">
        <v>200000</v>
      </c>
      <c r="AB50" s="54">
        <v>200000</v>
      </c>
      <c r="AC50" s="54">
        <v>200000</v>
      </c>
      <c r="AD50" s="47"/>
      <c r="AE50" s="54">
        <v>650000</v>
      </c>
      <c r="AF50" s="53"/>
      <c r="AG50" s="47"/>
      <c r="AH50" s="53">
        <f t="shared" si="13"/>
        <v>1500000</v>
      </c>
      <c r="AI50" s="51"/>
      <c r="AJ50" s="55" t="e">
        <f t="shared" si="17"/>
        <v>#REF!</v>
      </c>
    </row>
    <row r="51" spans="1:36" s="36" customFormat="1" ht="15.75" x14ac:dyDescent="0.25">
      <c r="A51" s="34" t="s">
        <v>153</v>
      </c>
      <c r="B51" s="35" t="s">
        <v>391</v>
      </c>
      <c r="C51" s="52" t="s">
        <v>387</v>
      </c>
      <c r="D51" s="109" t="s">
        <v>45</v>
      </c>
      <c r="E51" s="52" t="s">
        <v>320</v>
      </c>
      <c r="F51" s="52" t="e">
        <f>#REF!</f>
        <v>#REF!</v>
      </c>
      <c r="G51" s="52" t="e">
        <f>#REF!</f>
        <v>#REF!</v>
      </c>
      <c r="H51" s="50" t="e">
        <f t="shared" si="16"/>
        <v>#REF!</v>
      </c>
      <c r="I51" s="53" t="e">
        <f>#REF!</f>
        <v>#REF!</v>
      </c>
      <c r="J51" s="53"/>
      <c r="K51" s="53"/>
      <c r="L51" s="53"/>
      <c r="M51" s="53"/>
      <c r="N51" s="53"/>
      <c r="O51" s="47"/>
      <c r="P51" s="53"/>
      <c r="Q51" s="47"/>
      <c r="R51" s="53"/>
      <c r="S51" s="53"/>
      <c r="T51" s="53"/>
      <c r="U51" s="89"/>
      <c r="V51" s="89"/>
      <c r="W51" s="89"/>
      <c r="X51" s="89"/>
      <c r="Y51" s="54">
        <v>50000</v>
      </c>
      <c r="Z51" s="54">
        <v>65000</v>
      </c>
      <c r="AA51" s="54">
        <v>65000</v>
      </c>
      <c r="AB51" s="54">
        <v>65000</v>
      </c>
      <c r="AC51" s="54">
        <v>65000</v>
      </c>
      <c r="AD51" s="47"/>
      <c r="AE51" s="54">
        <v>440000</v>
      </c>
      <c r="AF51" s="53"/>
      <c r="AG51" s="47"/>
      <c r="AH51" s="53">
        <f t="shared" si="13"/>
        <v>750000</v>
      </c>
      <c r="AI51" s="51"/>
      <c r="AJ51" s="55" t="e">
        <f t="shared" si="17"/>
        <v>#REF!</v>
      </c>
    </row>
    <row r="52" spans="1:36" s="36" customFormat="1" ht="15.75" x14ac:dyDescent="0.25">
      <c r="A52" s="66" t="s">
        <v>155</v>
      </c>
      <c r="B52" s="67" t="s">
        <v>392</v>
      </c>
      <c r="C52" s="52" t="s">
        <v>387</v>
      </c>
      <c r="D52" s="109" t="s">
        <v>45</v>
      </c>
      <c r="E52" s="52" t="s">
        <v>320</v>
      </c>
      <c r="F52" s="52" t="e">
        <f>#REF!</f>
        <v>#REF!</v>
      </c>
      <c r="G52" s="52" t="e">
        <f>#REF!</f>
        <v>#REF!</v>
      </c>
      <c r="H52" s="50" t="e">
        <f t="shared" si="16"/>
        <v>#REF!</v>
      </c>
      <c r="I52" s="53" t="e">
        <f>#REF!</f>
        <v>#REF!</v>
      </c>
      <c r="J52" s="53"/>
      <c r="K52" s="53"/>
      <c r="L52" s="53"/>
      <c r="M52" s="53"/>
      <c r="N52" s="53"/>
      <c r="O52" s="47"/>
      <c r="P52" s="53"/>
      <c r="Q52" s="47"/>
      <c r="R52" s="53"/>
      <c r="S52" s="53"/>
      <c r="T52" s="53"/>
      <c r="U52" s="89"/>
      <c r="V52" s="89"/>
      <c r="W52" s="89"/>
      <c r="X52" s="89"/>
      <c r="Y52" s="54">
        <v>50000</v>
      </c>
      <c r="Z52" s="54">
        <v>65000</v>
      </c>
      <c r="AA52" s="54">
        <v>65000</v>
      </c>
      <c r="AB52" s="54">
        <v>65000</v>
      </c>
      <c r="AC52" s="54">
        <v>65000</v>
      </c>
      <c r="AD52" s="47"/>
      <c r="AE52" s="54">
        <v>440000</v>
      </c>
      <c r="AF52" s="53"/>
      <c r="AG52" s="47"/>
      <c r="AH52" s="53">
        <f t="shared" si="13"/>
        <v>750000</v>
      </c>
      <c r="AI52" s="51"/>
      <c r="AJ52" s="55" t="e">
        <f t="shared" si="17"/>
        <v>#REF!</v>
      </c>
    </row>
    <row r="53" spans="1:36" s="36" customFormat="1" ht="15.75" x14ac:dyDescent="0.25">
      <c r="A53" s="68" t="s">
        <v>156</v>
      </c>
      <c r="B53" s="69" t="s">
        <v>157</v>
      </c>
      <c r="C53" s="52" t="s">
        <v>387</v>
      </c>
      <c r="D53" s="109" t="s">
        <v>45</v>
      </c>
      <c r="E53" s="52" t="s">
        <v>320</v>
      </c>
      <c r="F53" s="52" t="e">
        <f>#REF!</f>
        <v>#REF!</v>
      </c>
      <c r="G53" s="52" t="e">
        <f>#REF!</f>
        <v>#REF!</v>
      </c>
      <c r="H53" s="50" t="e">
        <f t="shared" si="16"/>
        <v>#REF!</v>
      </c>
      <c r="I53" s="53" t="e">
        <f>#REF!</f>
        <v>#REF!</v>
      </c>
      <c r="J53" s="53"/>
      <c r="K53" s="53"/>
      <c r="L53" s="53"/>
      <c r="M53" s="53"/>
      <c r="N53" s="53"/>
      <c r="O53" s="47"/>
      <c r="P53" s="53"/>
      <c r="Q53" s="47"/>
      <c r="R53" s="53"/>
      <c r="S53" s="53"/>
      <c r="T53" s="53"/>
      <c r="U53" s="89"/>
      <c r="V53" s="89"/>
      <c r="W53" s="89"/>
      <c r="X53" s="89"/>
      <c r="Y53" s="54">
        <v>187500</v>
      </c>
      <c r="Z53" s="54">
        <v>187500</v>
      </c>
      <c r="AA53" s="54">
        <v>187500</v>
      </c>
      <c r="AB53" s="54">
        <v>187500</v>
      </c>
      <c r="AC53" s="54">
        <v>187500</v>
      </c>
      <c r="AD53" s="47"/>
      <c r="AE53" s="54">
        <v>562500</v>
      </c>
      <c r="AF53" s="53"/>
      <c r="AG53" s="47"/>
      <c r="AH53" s="53">
        <f t="shared" si="13"/>
        <v>1500000</v>
      </c>
      <c r="AI53" s="51"/>
      <c r="AJ53" s="55" t="e">
        <f t="shared" si="17"/>
        <v>#REF!</v>
      </c>
    </row>
    <row r="54" spans="1:36" s="36" customFormat="1" ht="15.75" x14ac:dyDescent="0.25">
      <c r="A54" s="68" t="s">
        <v>159</v>
      </c>
      <c r="B54" s="69" t="s">
        <v>393</v>
      </c>
      <c r="C54" s="52" t="s">
        <v>387</v>
      </c>
      <c r="D54" s="109" t="s">
        <v>45</v>
      </c>
      <c r="E54" s="52" t="s">
        <v>320</v>
      </c>
      <c r="F54" s="52" t="e">
        <f>'Sheet 2'!#REF!</f>
        <v>#REF!</v>
      </c>
      <c r="G54" s="52" t="e">
        <f>'Sheet 2'!#REF!</f>
        <v>#REF!</v>
      </c>
      <c r="H54" s="50" t="e">
        <f t="shared" si="16"/>
        <v>#REF!</v>
      </c>
      <c r="I54" s="53" t="e">
        <f>'Sheet 2'!#REF!</f>
        <v>#REF!</v>
      </c>
      <c r="J54" s="53"/>
      <c r="K54" s="53"/>
      <c r="L54" s="53"/>
      <c r="M54" s="53"/>
      <c r="N54" s="53"/>
      <c r="O54" s="47"/>
      <c r="P54" s="53"/>
      <c r="Q54" s="47"/>
      <c r="R54" s="53"/>
      <c r="S54" s="53"/>
      <c r="T54" s="53"/>
      <c r="U54" s="53"/>
      <c r="V54" s="53"/>
      <c r="W54" s="53"/>
      <c r="X54" s="53"/>
      <c r="Y54" s="54">
        <v>30000</v>
      </c>
      <c r="Z54" s="54">
        <v>30000</v>
      </c>
      <c r="AA54" s="54">
        <v>30000</v>
      </c>
      <c r="AB54" s="54">
        <v>30000</v>
      </c>
      <c r="AC54" s="54">
        <v>30000</v>
      </c>
      <c r="AD54" s="47"/>
      <c r="AE54" s="54">
        <v>350000</v>
      </c>
      <c r="AF54" s="53"/>
      <c r="AG54" s="47"/>
      <c r="AH54" s="53">
        <f t="shared" si="13"/>
        <v>500000</v>
      </c>
      <c r="AI54" s="51"/>
      <c r="AJ54" s="55" t="e">
        <f t="shared" si="17"/>
        <v>#REF!</v>
      </c>
    </row>
    <row r="55" spans="1:36" s="36" customFormat="1" ht="15.75" x14ac:dyDescent="0.25">
      <c r="A55" s="68" t="s">
        <v>394</v>
      </c>
      <c r="B55" s="69" t="s">
        <v>395</v>
      </c>
      <c r="C55" s="52" t="s">
        <v>387</v>
      </c>
      <c r="D55" s="109" t="s">
        <v>45</v>
      </c>
      <c r="E55" s="52" t="s">
        <v>320</v>
      </c>
      <c r="F55" s="52">
        <f>'Sheet 2'!T37</f>
        <v>0</v>
      </c>
      <c r="G55" s="52">
        <f>'Sheet 2'!U37</f>
        <v>0</v>
      </c>
      <c r="H55" s="50">
        <f t="shared" si="16"/>
        <v>0</v>
      </c>
      <c r="I55" s="53">
        <f>'Sheet 2'!S37</f>
        <v>0</v>
      </c>
      <c r="J55" s="53"/>
      <c r="K55" s="53"/>
      <c r="L55" s="53"/>
      <c r="M55" s="53"/>
      <c r="N55" s="53"/>
      <c r="O55" s="47"/>
      <c r="P55" s="53"/>
      <c r="Q55" s="47"/>
      <c r="R55" s="53"/>
      <c r="S55" s="53"/>
      <c r="T55" s="53"/>
      <c r="U55" s="53"/>
      <c r="V55" s="53"/>
      <c r="W55" s="53"/>
      <c r="X55" s="53"/>
      <c r="Y55" s="54">
        <v>50000</v>
      </c>
      <c r="Z55" s="54">
        <v>100000</v>
      </c>
      <c r="AA55" s="54">
        <v>100000</v>
      </c>
      <c r="AB55" s="54">
        <v>100000</v>
      </c>
      <c r="AC55" s="54">
        <v>100000</v>
      </c>
      <c r="AD55" s="47"/>
      <c r="AE55" s="54">
        <v>300000</v>
      </c>
      <c r="AF55" s="53"/>
      <c r="AG55" s="47"/>
      <c r="AH55" s="53">
        <f t="shared" si="13"/>
        <v>750000</v>
      </c>
      <c r="AI55" s="51"/>
      <c r="AJ55" s="55">
        <f t="shared" si="17"/>
        <v>-750000</v>
      </c>
    </row>
    <row r="56" spans="1:36" s="36" customFormat="1" ht="15.75" x14ac:dyDescent="0.25">
      <c r="A56" s="68" t="s">
        <v>340</v>
      </c>
      <c r="B56" s="69" t="s">
        <v>341</v>
      </c>
      <c r="C56" s="52" t="s">
        <v>387</v>
      </c>
      <c r="D56" s="109" t="s">
        <v>45</v>
      </c>
      <c r="E56" s="52" t="s">
        <v>320</v>
      </c>
      <c r="F56" s="52" t="e">
        <f>#REF!</f>
        <v>#REF!</v>
      </c>
      <c r="G56" s="52" t="e">
        <f>#REF!</f>
        <v>#REF!</v>
      </c>
      <c r="H56" s="50" t="e">
        <f>((G56-F56)/7)/4.3</f>
        <v>#REF!</v>
      </c>
      <c r="I56" s="53" t="e">
        <f>#REF!</f>
        <v>#REF!</v>
      </c>
      <c r="J56" s="53"/>
      <c r="K56" s="53"/>
      <c r="L56" s="53"/>
      <c r="M56" s="53"/>
      <c r="N56" s="53"/>
      <c r="O56" s="47"/>
      <c r="P56" s="53"/>
      <c r="Q56" s="47"/>
      <c r="R56" s="53"/>
      <c r="S56" s="53"/>
      <c r="T56" s="53"/>
      <c r="U56" s="89"/>
      <c r="V56" s="89"/>
      <c r="W56" s="54">
        <v>200000</v>
      </c>
      <c r="X56" s="54">
        <v>225000</v>
      </c>
      <c r="Y56" s="54">
        <v>225000</v>
      </c>
      <c r="Z56" s="54">
        <v>225000</v>
      </c>
      <c r="AA56" s="54">
        <v>225000</v>
      </c>
      <c r="AB56" s="54">
        <v>225000</v>
      </c>
      <c r="AC56" s="54">
        <v>100000</v>
      </c>
      <c r="AD56" s="47"/>
      <c r="AE56" s="54">
        <v>75000</v>
      </c>
      <c r="AF56" s="53"/>
      <c r="AG56" s="47"/>
      <c r="AH56" s="53">
        <f t="shared" si="13"/>
        <v>1500000</v>
      </c>
      <c r="AI56" s="51"/>
      <c r="AJ56" s="55" t="e">
        <f t="shared" si="17"/>
        <v>#REF!</v>
      </c>
    </row>
    <row r="57" spans="1:36" s="36" customFormat="1" ht="15.75" x14ac:dyDescent="0.25">
      <c r="A57" s="97"/>
      <c r="B57" s="98"/>
      <c r="C57" s="91"/>
      <c r="D57" s="91"/>
      <c r="E57" s="91"/>
      <c r="F57" s="91"/>
      <c r="G57" s="91"/>
      <c r="H57" s="92"/>
      <c r="I57" s="59" t="e">
        <f>SUM(I42:I56)</f>
        <v>#REF!</v>
      </c>
      <c r="J57" s="59"/>
      <c r="K57" s="59"/>
      <c r="L57" s="59"/>
      <c r="M57" s="59"/>
      <c r="N57" s="59"/>
      <c r="O57" s="47"/>
      <c r="P57" s="59">
        <f>SUM(P42:P56)</f>
        <v>1872532</v>
      </c>
      <c r="Q57" s="47"/>
      <c r="R57" s="59">
        <f>SUM(R42:R56)</f>
        <v>341375</v>
      </c>
      <c r="S57" s="59">
        <f t="shared" ref="S57:AC57" si="18">SUM(S42:S56)</f>
        <v>408231</v>
      </c>
      <c r="T57" s="59">
        <f t="shared" si="18"/>
        <v>450000</v>
      </c>
      <c r="U57" s="59">
        <f t="shared" si="18"/>
        <v>525000</v>
      </c>
      <c r="V57" s="59">
        <f t="shared" si="18"/>
        <v>625000</v>
      </c>
      <c r="W57" s="59">
        <f t="shared" si="18"/>
        <v>950000</v>
      </c>
      <c r="X57" s="59">
        <f t="shared" si="18"/>
        <v>1006257</v>
      </c>
      <c r="Y57" s="59">
        <f t="shared" si="18"/>
        <v>1322710</v>
      </c>
      <c r="Z57" s="59">
        <f t="shared" si="18"/>
        <v>1256395</v>
      </c>
      <c r="AA57" s="59">
        <f t="shared" si="18"/>
        <v>1185000</v>
      </c>
      <c r="AB57" s="59">
        <f t="shared" si="18"/>
        <v>1185000</v>
      </c>
      <c r="AC57" s="59">
        <f t="shared" si="18"/>
        <v>1035000</v>
      </c>
      <c r="AD57" s="47"/>
      <c r="AE57" s="59">
        <f>SUM(AE43:AE56)</f>
        <v>3142500</v>
      </c>
      <c r="AF57" s="59">
        <f>SUM(AF43:AF56)</f>
        <v>0</v>
      </c>
      <c r="AG57" s="47"/>
      <c r="AH57" s="53">
        <f t="shared" si="13"/>
        <v>15305000</v>
      </c>
      <c r="AI57" s="51"/>
      <c r="AJ57" s="55" t="e">
        <f t="shared" si="17"/>
        <v>#REF!</v>
      </c>
    </row>
    <row r="58" spans="1:36" s="36" customFormat="1" ht="15.75" x14ac:dyDescent="0.25">
      <c r="A58" s="106" t="s">
        <v>73</v>
      </c>
      <c r="B58" s="107"/>
      <c r="C58" s="101" t="s">
        <v>45</v>
      </c>
      <c r="D58" s="102"/>
      <c r="E58" s="102"/>
      <c r="F58" s="102"/>
      <c r="G58" s="102"/>
      <c r="H58" s="84"/>
      <c r="I58" s="103"/>
      <c r="J58" s="103"/>
      <c r="K58" s="103"/>
      <c r="L58" s="103"/>
      <c r="M58" s="103"/>
      <c r="N58" s="103"/>
      <c r="O58" s="47"/>
      <c r="P58" s="103"/>
      <c r="Q58" s="47"/>
      <c r="R58" s="85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47"/>
      <c r="AE58" s="103"/>
      <c r="AF58" s="103"/>
      <c r="AG58" s="47"/>
      <c r="AH58" s="85"/>
      <c r="AI58" s="51"/>
      <c r="AJ58" s="55"/>
    </row>
    <row r="59" spans="1:36" s="36" customFormat="1" ht="15.75" x14ac:dyDescent="0.25">
      <c r="A59" s="60" t="s">
        <v>161</v>
      </c>
      <c r="B59" s="61" t="s">
        <v>163</v>
      </c>
      <c r="C59" s="52" t="s">
        <v>45</v>
      </c>
      <c r="D59" s="52" t="s">
        <v>45</v>
      </c>
      <c r="E59" s="52" t="s">
        <v>320</v>
      </c>
      <c r="F59" s="52" t="e">
        <f>'Sheet 2'!#REF!</f>
        <v>#REF!</v>
      </c>
      <c r="G59" s="52" t="e">
        <f>'Sheet 2'!#REF!</f>
        <v>#REF!</v>
      </c>
      <c r="H59" s="50"/>
      <c r="I59" s="53" t="e">
        <f>'Sheet 2'!#REF!</f>
        <v>#REF!</v>
      </c>
      <c r="J59" s="53"/>
      <c r="K59" s="53"/>
      <c r="L59" s="53"/>
      <c r="M59" s="53"/>
      <c r="N59" s="53"/>
      <c r="O59" s="47"/>
      <c r="P59" s="53"/>
      <c r="Q59" s="47"/>
      <c r="R59" s="53"/>
      <c r="S59" s="53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47"/>
      <c r="AE59" s="54">
        <v>2500000</v>
      </c>
      <c r="AF59" s="53"/>
      <c r="AG59" s="47"/>
      <c r="AH59" s="53">
        <f t="shared" si="13"/>
        <v>2500000</v>
      </c>
      <c r="AI59" s="51"/>
      <c r="AJ59" s="55" t="e">
        <f t="shared" ref="AJ59:AJ72" si="19">I59-AH59</f>
        <v>#REF!</v>
      </c>
    </row>
    <row r="60" spans="1:36" s="36" customFormat="1" ht="15.75" x14ac:dyDescent="0.25">
      <c r="A60" s="62" t="s">
        <v>180</v>
      </c>
      <c r="B60" s="63" t="s">
        <v>182</v>
      </c>
      <c r="C60" s="52" t="s">
        <v>45</v>
      </c>
      <c r="D60" s="52" t="s">
        <v>45</v>
      </c>
      <c r="E60" s="52" t="s">
        <v>320</v>
      </c>
      <c r="F60" s="52" t="e">
        <f>#REF!</f>
        <v>#REF!</v>
      </c>
      <c r="G60" s="52" t="e">
        <f>#REF!</f>
        <v>#REF!</v>
      </c>
      <c r="H60" s="50" t="e">
        <f t="shared" ref="H60:H67" si="20">((G60-F60)/7)/4.3</f>
        <v>#REF!</v>
      </c>
      <c r="I60" s="53" t="e">
        <f>#REF!</f>
        <v>#REF!</v>
      </c>
      <c r="J60" s="53"/>
      <c r="K60" s="53"/>
      <c r="L60" s="53"/>
      <c r="M60" s="53"/>
      <c r="N60" s="53"/>
      <c r="O60" s="47"/>
      <c r="P60" s="53"/>
      <c r="Q60" s="47"/>
      <c r="R60" s="53"/>
      <c r="S60" s="53"/>
      <c r="T60" s="53"/>
      <c r="U60" s="58"/>
      <c r="V60" s="54">
        <v>125000</v>
      </c>
      <c r="W60" s="54">
        <v>150000</v>
      </c>
      <c r="X60" s="54">
        <v>125000</v>
      </c>
      <c r="Y60" s="53"/>
      <c r="Z60" s="53"/>
      <c r="AA60" s="53"/>
      <c r="AB60" s="53"/>
      <c r="AC60" s="53"/>
      <c r="AD60" s="47"/>
      <c r="AE60" s="53"/>
      <c r="AF60" s="53"/>
      <c r="AG60" s="47"/>
      <c r="AH60" s="53">
        <f t="shared" si="13"/>
        <v>400000</v>
      </c>
      <c r="AI60" s="51"/>
      <c r="AJ60" s="55" t="e">
        <f t="shared" si="19"/>
        <v>#REF!</v>
      </c>
    </row>
    <row r="61" spans="1:36" s="36" customFormat="1" ht="15.75" x14ac:dyDescent="0.25">
      <c r="A61" s="34" t="s">
        <v>316</v>
      </c>
      <c r="B61" s="35" t="s">
        <v>317</v>
      </c>
      <c r="C61" s="52" t="s">
        <v>45</v>
      </c>
      <c r="D61" s="52" t="s">
        <v>45</v>
      </c>
      <c r="E61" s="52" t="s">
        <v>320</v>
      </c>
      <c r="F61" s="52" t="e">
        <f>#REF!</f>
        <v>#REF!</v>
      </c>
      <c r="G61" s="52" t="e">
        <f>#REF!</f>
        <v>#REF!</v>
      </c>
      <c r="H61" s="50" t="e">
        <f t="shared" si="20"/>
        <v>#REF!</v>
      </c>
      <c r="I61" s="53" t="e">
        <f>#REF!</f>
        <v>#REF!</v>
      </c>
      <c r="J61" s="53"/>
      <c r="K61" s="53"/>
      <c r="L61" s="53"/>
      <c r="M61" s="53"/>
      <c r="N61" s="53"/>
      <c r="O61" s="47"/>
      <c r="P61" s="53"/>
      <c r="Q61" s="47"/>
      <c r="R61" s="53"/>
      <c r="S61" s="53"/>
      <c r="T61" s="53"/>
      <c r="U61" s="54">
        <v>120554</v>
      </c>
      <c r="V61" s="54">
        <v>640652</v>
      </c>
      <c r="W61" s="54">
        <v>780589</v>
      </c>
      <c r="X61" s="54">
        <v>1254600</v>
      </c>
      <c r="Y61" s="54">
        <v>1554600</v>
      </c>
      <c r="Z61" s="54">
        <v>1884600</v>
      </c>
      <c r="AA61" s="54">
        <v>1884600</v>
      </c>
      <c r="AB61" s="54">
        <v>1884600</v>
      </c>
      <c r="AC61" s="54">
        <v>1254600</v>
      </c>
      <c r="AD61" s="47"/>
      <c r="AE61" s="54">
        <v>740605</v>
      </c>
      <c r="AF61" s="53"/>
      <c r="AG61" s="47"/>
      <c r="AH61" s="53">
        <f>SUM(P61:AG61)</f>
        <v>12000000</v>
      </c>
      <c r="AI61" s="51"/>
      <c r="AJ61" s="55" t="e">
        <f t="shared" si="19"/>
        <v>#REF!</v>
      </c>
    </row>
    <row r="62" spans="1:36" s="36" customFormat="1" ht="15.75" x14ac:dyDescent="0.25">
      <c r="A62" s="34" t="s">
        <v>185</v>
      </c>
      <c r="B62" s="35" t="s">
        <v>186</v>
      </c>
      <c r="C62" s="52" t="s">
        <v>45</v>
      </c>
      <c r="D62" s="52" t="s">
        <v>45</v>
      </c>
      <c r="E62" s="52" t="s">
        <v>320</v>
      </c>
      <c r="F62" s="52" t="e">
        <f>'Sheet 2'!#REF!</f>
        <v>#REF!</v>
      </c>
      <c r="G62" s="52" t="e">
        <f>'Sheet 2'!#REF!</f>
        <v>#REF!</v>
      </c>
      <c r="H62" s="50" t="e">
        <f t="shared" si="20"/>
        <v>#REF!</v>
      </c>
      <c r="I62" s="53" t="e">
        <f>'Sheet 2'!#REF!</f>
        <v>#REF!</v>
      </c>
      <c r="J62" s="53"/>
      <c r="K62" s="53"/>
      <c r="L62" s="53"/>
      <c r="M62" s="53"/>
      <c r="N62" s="53"/>
      <c r="O62" s="47"/>
      <c r="P62" s="53"/>
      <c r="Q62" s="47"/>
      <c r="R62" s="53"/>
      <c r="S62" s="53"/>
      <c r="T62" s="53"/>
      <c r="U62" s="53"/>
      <c r="V62" s="54">
        <v>100000</v>
      </c>
      <c r="W62" s="54">
        <v>150000</v>
      </c>
      <c r="X62" s="54">
        <v>150000</v>
      </c>
      <c r="Y62" s="54">
        <v>150000</v>
      </c>
      <c r="Z62" s="54">
        <v>150000</v>
      </c>
      <c r="AA62" s="54">
        <v>200000</v>
      </c>
      <c r="AB62" s="54">
        <v>200000</v>
      </c>
      <c r="AC62" s="54">
        <v>200000</v>
      </c>
      <c r="AD62" s="47"/>
      <c r="AE62" s="54">
        <v>450000</v>
      </c>
      <c r="AF62" s="53"/>
      <c r="AG62" s="47"/>
      <c r="AH62" s="53">
        <f t="shared" si="13"/>
        <v>1750000</v>
      </c>
      <c r="AI62" s="51"/>
      <c r="AJ62" s="55" t="e">
        <f t="shared" si="19"/>
        <v>#REF!</v>
      </c>
    </row>
    <row r="63" spans="1:36" s="36" customFormat="1" ht="15.75" x14ac:dyDescent="0.25">
      <c r="A63" s="34" t="s">
        <v>187</v>
      </c>
      <c r="B63" s="35" t="s">
        <v>188</v>
      </c>
      <c r="C63" s="52" t="s">
        <v>45</v>
      </c>
      <c r="D63" s="52" t="s">
        <v>45</v>
      </c>
      <c r="E63" s="52" t="s">
        <v>320</v>
      </c>
      <c r="F63" s="52" t="e">
        <f>'Sheet 2'!#REF!</f>
        <v>#REF!</v>
      </c>
      <c r="G63" s="52" t="e">
        <f>'Sheet 2'!#REF!</f>
        <v>#REF!</v>
      </c>
      <c r="H63" s="50" t="e">
        <f t="shared" si="20"/>
        <v>#REF!</v>
      </c>
      <c r="I63" s="53" t="e">
        <f>'Sheet 2'!#REF!</f>
        <v>#REF!</v>
      </c>
      <c r="J63" s="53"/>
      <c r="K63" s="53"/>
      <c r="L63" s="53"/>
      <c r="M63" s="53"/>
      <c r="N63" s="53"/>
      <c r="O63" s="47"/>
      <c r="P63" s="53"/>
      <c r="Q63" s="47"/>
      <c r="R63" s="53"/>
      <c r="S63" s="53"/>
      <c r="T63" s="53"/>
      <c r="U63" s="53"/>
      <c r="V63" s="53"/>
      <c r="W63" s="58"/>
      <c r="X63" s="58"/>
      <c r="Y63" s="54">
        <v>125000</v>
      </c>
      <c r="Z63" s="54">
        <v>250000</v>
      </c>
      <c r="AA63" s="54">
        <v>350000</v>
      </c>
      <c r="AB63" s="54">
        <v>350000</v>
      </c>
      <c r="AC63" s="54">
        <v>350000</v>
      </c>
      <c r="AD63" s="47"/>
      <c r="AE63" s="54">
        <v>1075000</v>
      </c>
      <c r="AF63" s="53"/>
      <c r="AG63" s="47"/>
      <c r="AH63" s="53">
        <f t="shared" si="13"/>
        <v>2500000</v>
      </c>
      <c r="AI63" s="51"/>
      <c r="AJ63" s="55" t="e">
        <f t="shared" si="19"/>
        <v>#REF!</v>
      </c>
    </row>
    <row r="64" spans="1:36" s="36" customFormat="1" ht="15.75" x14ac:dyDescent="0.25">
      <c r="A64" s="34" t="s">
        <v>191</v>
      </c>
      <c r="B64" s="35" t="s">
        <v>192</v>
      </c>
      <c r="C64" s="52" t="s">
        <v>45</v>
      </c>
      <c r="D64" s="52" t="s">
        <v>45</v>
      </c>
      <c r="E64" s="52" t="s">
        <v>320</v>
      </c>
      <c r="F64" s="52">
        <f>'Sheet 2'!T50</f>
        <v>44344</v>
      </c>
      <c r="G64" s="52">
        <f>'Sheet 2'!U50</f>
        <v>44400</v>
      </c>
      <c r="H64" s="50">
        <f t="shared" si="20"/>
        <v>1.8604651162790697</v>
      </c>
      <c r="I64" s="53">
        <f>'Sheet 2'!S50</f>
        <v>90000</v>
      </c>
      <c r="J64" s="53"/>
      <c r="K64" s="53"/>
      <c r="L64" s="53"/>
      <c r="M64" s="53"/>
      <c r="N64" s="53"/>
      <c r="O64" s="47"/>
      <c r="P64" s="53"/>
      <c r="Q64" s="47"/>
      <c r="R64" s="53"/>
      <c r="S64" s="53"/>
      <c r="T64" s="53"/>
      <c r="U64" s="53"/>
      <c r="V64" s="53"/>
      <c r="W64" s="58"/>
      <c r="X64" s="58"/>
      <c r="Y64" s="58"/>
      <c r="Z64" s="58"/>
      <c r="AA64" s="54">
        <v>800000</v>
      </c>
      <c r="AB64" s="54">
        <v>800000</v>
      </c>
      <c r="AC64" s="54">
        <v>800000</v>
      </c>
      <c r="AD64" s="47"/>
      <c r="AE64" s="54">
        <v>1600000</v>
      </c>
      <c r="AF64" s="53"/>
      <c r="AG64" s="47"/>
      <c r="AH64" s="53">
        <f t="shared" si="13"/>
        <v>4000000</v>
      </c>
      <c r="AI64" s="51"/>
      <c r="AJ64" s="55">
        <f t="shared" si="19"/>
        <v>-3910000</v>
      </c>
    </row>
    <row r="65" spans="1:36" s="36" customFormat="1" ht="15.75" x14ac:dyDescent="0.25">
      <c r="A65" s="34" t="s">
        <v>127</v>
      </c>
      <c r="B65" s="35" t="s">
        <v>396</v>
      </c>
      <c r="C65" s="52" t="s">
        <v>45</v>
      </c>
      <c r="D65" s="52" t="s">
        <v>45</v>
      </c>
      <c r="E65" s="52" t="s">
        <v>320</v>
      </c>
      <c r="F65" s="52">
        <f>'Sheet 2'!T35</f>
        <v>0</v>
      </c>
      <c r="G65" s="52">
        <f>'Sheet 2'!U35</f>
        <v>0</v>
      </c>
      <c r="H65" s="50">
        <f t="shared" si="20"/>
        <v>0</v>
      </c>
      <c r="I65" s="53">
        <f>'Sheet 2'!S35</f>
        <v>1750000</v>
      </c>
      <c r="J65" s="53"/>
      <c r="K65" s="53"/>
      <c r="L65" s="53"/>
      <c r="M65" s="53"/>
      <c r="N65" s="53"/>
      <c r="O65" s="47"/>
      <c r="P65" s="53"/>
      <c r="Q65" s="47"/>
      <c r="R65" s="53"/>
      <c r="S65" s="53"/>
      <c r="T65" s="54">
        <f>355000/4</f>
        <v>88750</v>
      </c>
      <c r="U65" s="54">
        <v>100000</v>
      </c>
      <c r="V65" s="54">
        <v>110000</v>
      </c>
      <c r="W65" s="54">
        <v>56250</v>
      </c>
      <c r="X65" s="53"/>
      <c r="Y65" s="53"/>
      <c r="Z65" s="53"/>
      <c r="AA65" s="53"/>
      <c r="AB65" s="53"/>
      <c r="AC65" s="53"/>
      <c r="AD65" s="47"/>
      <c r="AE65" s="53"/>
      <c r="AF65" s="53"/>
      <c r="AG65" s="47"/>
      <c r="AH65" s="53">
        <f t="shared" si="13"/>
        <v>355000</v>
      </c>
      <c r="AI65" s="51"/>
      <c r="AJ65" s="55">
        <f t="shared" si="19"/>
        <v>1395000</v>
      </c>
    </row>
    <row r="66" spans="1:36" s="36" customFormat="1" ht="15.75" x14ac:dyDescent="0.25">
      <c r="A66" s="34" t="s">
        <v>194</v>
      </c>
      <c r="B66" s="35" t="s">
        <v>397</v>
      </c>
      <c r="C66" s="52" t="s">
        <v>45</v>
      </c>
      <c r="D66" s="52" t="s">
        <v>45</v>
      </c>
      <c r="E66" s="52" t="s">
        <v>320</v>
      </c>
      <c r="F66" s="52">
        <f>'Sheet 2'!T38</f>
        <v>44447</v>
      </c>
      <c r="G66" s="52">
        <f>'Sheet 2'!U38</f>
        <v>44687.8</v>
      </c>
      <c r="H66" s="50">
        <f t="shared" si="20"/>
        <v>8.0000000000000977</v>
      </c>
      <c r="I66" s="53">
        <f>'Sheet 2'!S38</f>
        <v>1000000</v>
      </c>
      <c r="J66" s="53"/>
      <c r="K66" s="53"/>
      <c r="L66" s="53"/>
      <c r="M66" s="53"/>
      <c r="N66" s="53"/>
      <c r="O66" s="47"/>
      <c r="P66" s="53"/>
      <c r="Q66" s="47"/>
      <c r="R66" s="53"/>
      <c r="S66" s="53"/>
      <c r="T66" s="58"/>
      <c r="U66" s="58"/>
      <c r="V66" s="58"/>
      <c r="W66" s="58"/>
      <c r="X66" s="53"/>
      <c r="Y66" s="53"/>
      <c r="Z66" s="53"/>
      <c r="AA66" s="53"/>
      <c r="AB66" s="53"/>
      <c r="AC66" s="53"/>
      <c r="AD66" s="47"/>
      <c r="AE66" s="54">
        <v>3000000</v>
      </c>
      <c r="AF66" s="53"/>
      <c r="AG66" s="47"/>
      <c r="AH66" s="53">
        <f t="shared" ref="AH66:AH72" si="21">SUM(P66:AG66)</f>
        <v>3000000</v>
      </c>
      <c r="AI66" s="51"/>
      <c r="AJ66" s="55">
        <f t="shared" si="19"/>
        <v>-2000000</v>
      </c>
    </row>
    <row r="67" spans="1:36" s="36" customFormat="1" ht="15.75" x14ac:dyDescent="0.25">
      <c r="A67" s="34" t="s">
        <v>398</v>
      </c>
      <c r="B67" s="35" t="s">
        <v>225</v>
      </c>
      <c r="C67" s="52" t="s">
        <v>45</v>
      </c>
      <c r="D67" s="52" t="s">
        <v>45</v>
      </c>
      <c r="E67" s="52" t="s">
        <v>320</v>
      </c>
      <c r="F67" s="52">
        <f>'Sheet 2'!T23</f>
        <v>44417</v>
      </c>
      <c r="G67" s="52">
        <f>'Sheet 2'!U23</f>
        <v>44657.8</v>
      </c>
      <c r="H67" s="50">
        <f t="shared" si="20"/>
        <v>8.0000000000000977</v>
      </c>
      <c r="I67" s="53">
        <f>'Sheet 2'!S23</f>
        <v>1736318</v>
      </c>
      <c r="J67" s="53"/>
      <c r="K67" s="53"/>
      <c r="L67" s="53"/>
      <c r="M67" s="53"/>
      <c r="N67" s="53"/>
      <c r="O67" s="47"/>
      <c r="P67" s="53"/>
      <c r="Q67" s="47"/>
      <c r="R67" s="53"/>
      <c r="S67" s="53"/>
      <c r="T67" s="58"/>
      <c r="U67" s="58"/>
      <c r="V67" s="58"/>
      <c r="W67" s="58"/>
      <c r="X67" s="53"/>
      <c r="Y67" s="53"/>
      <c r="Z67" s="53"/>
      <c r="AA67" s="53"/>
      <c r="AB67" s="53"/>
      <c r="AC67" s="53"/>
      <c r="AD67" s="47"/>
      <c r="AE67" s="53">
        <v>1500000</v>
      </c>
      <c r="AF67" s="53"/>
      <c r="AG67" s="47"/>
      <c r="AH67" s="53">
        <f t="shared" si="21"/>
        <v>1500000</v>
      </c>
      <c r="AI67" s="51"/>
      <c r="AJ67" s="55">
        <f t="shared" si="19"/>
        <v>236318</v>
      </c>
    </row>
    <row r="68" spans="1:36" s="36" customFormat="1" ht="15.75" x14ac:dyDescent="0.25">
      <c r="A68" s="34" t="e">
        <f>#REF!</f>
        <v>#REF!</v>
      </c>
      <c r="B68" s="35" t="e">
        <f>#REF!</f>
        <v>#REF!</v>
      </c>
      <c r="C68" s="52" t="s">
        <v>45</v>
      </c>
      <c r="D68" s="52" t="s">
        <v>45</v>
      </c>
      <c r="E68" s="52" t="s">
        <v>320</v>
      </c>
      <c r="F68" s="52">
        <f>'Sheet 2'!T24</f>
        <v>44417</v>
      </c>
      <c r="G68" s="52">
        <f>'Sheet 2'!U24</f>
        <v>44657.8</v>
      </c>
      <c r="H68" s="50"/>
      <c r="I68" s="53">
        <f>'Sheet 2'!S24</f>
        <v>376000</v>
      </c>
      <c r="J68" s="53"/>
      <c r="K68" s="53"/>
      <c r="L68" s="53"/>
      <c r="M68" s="53"/>
      <c r="N68" s="53"/>
      <c r="O68" s="47"/>
      <c r="P68" s="53"/>
      <c r="Q68" s="47"/>
      <c r="R68" s="53"/>
      <c r="S68" s="53"/>
      <c r="T68" s="58"/>
      <c r="U68" s="58"/>
      <c r="V68" s="58"/>
      <c r="W68" s="58"/>
      <c r="X68" s="53"/>
      <c r="Y68" s="53"/>
      <c r="Z68" s="53"/>
      <c r="AA68" s="53"/>
      <c r="AB68" s="53"/>
      <c r="AC68" s="53"/>
      <c r="AD68" s="47"/>
      <c r="AE68" s="53">
        <v>2000000</v>
      </c>
      <c r="AF68" s="53"/>
      <c r="AG68" s="47"/>
      <c r="AH68" s="53">
        <f t="shared" si="21"/>
        <v>2000000</v>
      </c>
      <c r="AI68" s="51"/>
      <c r="AJ68" s="55">
        <f>I68-AH68</f>
        <v>-1624000</v>
      </c>
    </row>
    <row r="69" spans="1:36" s="36" customFormat="1" ht="15.75" x14ac:dyDescent="0.25">
      <c r="A69" s="99"/>
      <c r="B69" s="100"/>
      <c r="C69" s="91"/>
      <c r="D69" s="91"/>
      <c r="E69" s="91"/>
      <c r="F69" s="91"/>
      <c r="G69" s="91"/>
      <c r="H69" s="92"/>
      <c r="I69" s="59" t="e">
        <f>SUM(I59:I68)</f>
        <v>#REF!</v>
      </c>
      <c r="J69" s="59"/>
      <c r="K69" s="59"/>
      <c r="L69" s="59"/>
      <c r="M69" s="59"/>
      <c r="N69" s="59"/>
      <c r="O69" s="47"/>
      <c r="P69" s="59">
        <f>SUM(P59:P68)</f>
        <v>0</v>
      </c>
      <c r="Q69" s="47"/>
      <c r="R69" s="59">
        <f>SUM(R59:R66)</f>
        <v>0</v>
      </c>
      <c r="S69" s="59">
        <f t="shared" ref="S69:AC69" si="22">SUM(S59:S66)</f>
        <v>0</v>
      </c>
      <c r="T69" s="59">
        <f t="shared" si="22"/>
        <v>88750</v>
      </c>
      <c r="U69" s="59">
        <f t="shared" si="22"/>
        <v>220554</v>
      </c>
      <c r="V69" s="59">
        <f t="shared" si="22"/>
        <v>975652</v>
      </c>
      <c r="W69" s="59">
        <f t="shared" si="22"/>
        <v>1136839</v>
      </c>
      <c r="X69" s="59">
        <f t="shared" si="22"/>
        <v>1529600</v>
      </c>
      <c r="Y69" s="59">
        <f t="shared" si="22"/>
        <v>1829600</v>
      </c>
      <c r="Z69" s="59">
        <f t="shared" si="22"/>
        <v>2284600</v>
      </c>
      <c r="AA69" s="59">
        <f t="shared" si="22"/>
        <v>3234600</v>
      </c>
      <c r="AB69" s="59">
        <f t="shared" si="22"/>
        <v>3234600</v>
      </c>
      <c r="AC69" s="59">
        <f t="shared" si="22"/>
        <v>2604600</v>
      </c>
      <c r="AD69" s="47"/>
      <c r="AE69" s="59">
        <f>SUM(AE59:AE68)</f>
        <v>12865605</v>
      </c>
      <c r="AF69" s="59">
        <f>SUM(AF59:AF66)</f>
        <v>0</v>
      </c>
      <c r="AG69" s="47"/>
      <c r="AH69" s="53">
        <f t="shared" si="21"/>
        <v>30005000</v>
      </c>
      <c r="AI69" s="51"/>
      <c r="AJ69" s="55" t="e">
        <f t="shared" si="19"/>
        <v>#REF!</v>
      </c>
    </row>
    <row r="70" spans="1:36" s="36" customFormat="1" ht="15.75" x14ac:dyDescent="0.25">
      <c r="A70" s="34"/>
      <c r="B70" s="35"/>
      <c r="C70" s="52"/>
      <c r="D70" s="52"/>
      <c r="E70" s="52"/>
      <c r="F70" s="52"/>
      <c r="G70" s="52"/>
      <c r="H70" s="50"/>
      <c r="I70" s="53"/>
      <c r="J70" s="53"/>
      <c r="K70" s="53"/>
      <c r="L70" s="53"/>
      <c r="M70" s="53"/>
      <c r="N70" s="53"/>
      <c r="O70" s="47"/>
      <c r="P70" s="53"/>
      <c r="Q70" s="47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47"/>
      <c r="AE70" s="53"/>
      <c r="AF70" s="53"/>
      <c r="AG70" s="47"/>
      <c r="AH70" s="53">
        <f t="shared" si="21"/>
        <v>0</v>
      </c>
      <c r="AI70" s="51"/>
      <c r="AJ70" s="55">
        <f t="shared" si="19"/>
        <v>0</v>
      </c>
    </row>
    <row r="71" spans="1:36" s="36" customFormat="1" ht="15.75" x14ac:dyDescent="0.25">
      <c r="A71" s="34"/>
      <c r="B71" s="35"/>
      <c r="C71" s="52"/>
      <c r="D71" s="52"/>
      <c r="E71" s="52"/>
      <c r="F71" s="52"/>
      <c r="G71" s="52"/>
      <c r="H71" s="50"/>
      <c r="I71" s="53"/>
      <c r="J71" s="53"/>
      <c r="K71" s="53"/>
      <c r="L71" s="53"/>
      <c r="M71" s="53"/>
      <c r="N71" s="53"/>
      <c r="O71" s="47"/>
      <c r="P71" s="53"/>
      <c r="Q71" s="47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47"/>
      <c r="AE71" s="53"/>
      <c r="AF71" s="53"/>
      <c r="AG71" s="47"/>
      <c r="AH71" s="53">
        <f t="shared" si="21"/>
        <v>0</v>
      </c>
      <c r="AI71" s="51"/>
      <c r="AJ71" s="55">
        <f t="shared" si="19"/>
        <v>0</v>
      </c>
    </row>
    <row r="72" spans="1:36" s="36" customFormat="1" ht="16.5" thickBot="1" x14ac:dyDescent="0.3">
      <c r="C72" s="37"/>
      <c r="D72" s="37"/>
      <c r="E72" s="37"/>
      <c r="F72" s="37"/>
      <c r="G72" s="70"/>
      <c r="H72" s="71" t="s">
        <v>399</v>
      </c>
      <c r="I72" s="72" t="e">
        <f t="shared" ref="I72:N72" si="23">SUM(I4:I69)-I17-I22-I37-I40-I57-I69</f>
        <v>#REF!</v>
      </c>
      <c r="J72" s="72">
        <f t="shared" si="23"/>
        <v>25064428</v>
      </c>
      <c r="K72" s="72" t="e">
        <f t="shared" si="23"/>
        <v>#REF!</v>
      </c>
      <c r="L72" s="72">
        <f t="shared" si="23"/>
        <v>22474518</v>
      </c>
      <c r="M72" s="72" t="e">
        <f t="shared" si="23"/>
        <v>#REF!</v>
      </c>
      <c r="N72" s="72" t="e">
        <f t="shared" si="23"/>
        <v>#REF!</v>
      </c>
      <c r="O72" s="47"/>
      <c r="P72" s="72">
        <f>SUM(P4:P69)-P17-P22-P37-P40-P57-P69</f>
        <v>12497897</v>
      </c>
      <c r="Q72" s="47"/>
      <c r="R72" s="72">
        <f t="shared" ref="R72:AC72" si="24">SUM(R4:R69)-R17-R22-R37-R40-R57-R69</f>
        <v>2798117.1428571427</v>
      </c>
      <c r="S72" s="72">
        <f t="shared" si="24"/>
        <v>3206824.6428571427</v>
      </c>
      <c r="T72" s="72">
        <f t="shared" si="24"/>
        <v>4008392.6428571427</v>
      </c>
      <c r="U72" s="72">
        <f t="shared" si="24"/>
        <v>4318997.6428571427</v>
      </c>
      <c r="V72" s="72">
        <f t="shared" si="24"/>
        <v>5069566.6428571418</v>
      </c>
      <c r="W72" s="72">
        <f t="shared" si="24"/>
        <v>5575814.6428571418</v>
      </c>
      <c r="X72" s="72">
        <f t="shared" si="24"/>
        <v>5314704.6428571418</v>
      </c>
      <c r="Y72" s="72">
        <f t="shared" si="24"/>
        <v>5476840</v>
      </c>
      <c r="Z72" s="72">
        <f t="shared" si="24"/>
        <v>5359959</v>
      </c>
      <c r="AA72" s="72">
        <f t="shared" si="24"/>
        <v>6173564</v>
      </c>
      <c r="AB72" s="72">
        <f t="shared" si="24"/>
        <v>5501722</v>
      </c>
      <c r="AC72" s="72">
        <f t="shared" si="24"/>
        <v>3866535</v>
      </c>
      <c r="AD72" s="47"/>
      <c r="AE72" s="72">
        <f>SUM(AE4:AE69)-AE17-AE22-AE37-AE40-AE57-AE69</f>
        <v>16008105</v>
      </c>
      <c r="AF72" s="72">
        <f>SUM(AF4:AF71)-AF17-AF22-AF37-AF40-AF57-AF69</f>
        <v>0</v>
      </c>
      <c r="AG72" s="47"/>
      <c r="AH72" s="53">
        <f t="shared" si="21"/>
        <v>85177040</v>
      </c>
      <c r="AI72" s="73"/>
      <c r="AJ72" s="55" t="e">
        <f t="shared" si="19"/>
        <v>#REF!</v>
      </c>
    </row>
    <row r="73" spans="1:36" ht="15.75" x14ac:dyDescent="0.25">
      <c r="G73" s="75"/>
      <c r="I73" s="76"/>
      <c r="J73" s="76"/>
      <c r="K73" s="76"/>
      <c r="L73" s="76"/>
      <c r="M73" s="76"/>
      <c r="N73" s="76"/>
      <c r="O73" s="77"/>
      <c r="P73" s="76"/>
      <c r="Q73" s="77"/>
      <c r="R73" s="125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47"/>
      <c r="AE73" s="76"/>
      <c r="AF73" s="76"/>
      <c r="AG73" s="47"/>
      <c r="AH73" s="76"/>
      <c r="AI73" s="77"/>
    </row>
    <row r="74" spans="1:36" ht="15.75" x14ac:dyDescent="0.25">
      <c r="G74" s="75"/>
      <c r="I74" s="76"/>
      <c r="J74" s="76"/>
      <c r="K74" s="76"/>
      <c r="L74" s="76"/>
      <c r="M74" s="76"/>
      <c r="N74" s="76"/>
      <c r="O74" s="77"/>
      <c r="P74" s="76"/>
      <c r="Q74" s="77"/>
      <c r="R74" s="125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47"/>
      <c r="AE74" s="76"/>
      <c r="AF74" s="76"/>
      <c r="AG74" s="47"/>
      <c r="AH74" s="76"/>
      <c r="AI74" s="77"/>
      <c r="AJ74" s="90"/>
    </row>
    <row r="75" spans="1:36" ht="15.75" x14ac:dyDescent="0.25">
      <c r="AD75" s="47"/>
      <c r="AG75" s="47"/>
    </row>
    <row r="76" spans="1:36" ht="15.75" x14ac:dyDescent="0.25">
      <c r="AD76" s="47"/>
      <c r="AG76" s="47"/>
    </row>
    <row r="77" spans="1:36" ht="15.75" x14ac:dyDescent="0.25">
      <c r="AD77" s="47"/>
      <c r="AG77" s="47"/>
    </row>
    <row r="78" spans="1:36" ht="15.75" x14ac:dyDescent="0.25">
      <c r="AD78" s="47"/>
      <c r="AG78" s="47"/>
    </row>
    <row r="79" spans="1:36" ht="15.75" x14ac:dyDescent="0.25">
      <c r="R79" s="131"/>
      <c r="S79" s="3"/>
      <c r="T79" s="8"/>
      <c r="U79" s="80"/>
      <c r="AD79" s="47"/>
      <c r="AG79" s="47"/>
    </row>
    <row r="80" spans="1:36" ht="15.75" x14ac:dyDescent="0.25">
      <c r="R80" s="131"/>
      <c r="S80" s="3"/>
      <c r="T80" s="8"/>
      <c r="U80" s="80"/>
      <c r="AD80" s="47"/>
      <c r="AG80" s="47"/>
    </row>
    <row r="81" spans="18:33" ht="15.75" x14ac:dyDescent="0.25">
      <c r="R81" s="131"/>
      <c r="S81" s="3"/>
      <c r="T81" s="8"/>
      <c r="U81" s="80"/>
      <c r="AD81" s="47"/>
      <c r="AG81" s="47"/>
    </row>
    <row r="82" spans="18:33" ht="15.75" x14ac:dyDescent="0.25">
      <c r="R82" s="131"/>
      <c r="S82" s="3"/>
      <c r="T82" s="8"/>
      <c r="U82" s="80"/>
      <c r="AD82" s="47"/>
      <c r="AG82" s="47"/>
    </row>
    <row r="83" spans="18:33" ht="15.75" x14ac:dyDescent="0.25">
      <c r="R83" s="131"/>
      <c r="S83" s="3"/>
      <c r="T83" s="8"/>
      <c r="U83" s="80"/>
      <c r="AD83" s="47"/>
      <c r="AG83" s="47"/>
    </row>
    <row r="84" spans="18:33" ht="15.75" x14ac:dyDescent="0.25">
      <c r="R84" s="131"/>
      <c r="S84" s="3"/>
      <c r="T84" s="8"/>
      <c r="U84" s="80"/>
      <c r="AG84" s="47"/>
    </row>
    <row r="85" spans="18:33" ht="15.75" x14ac:dyDescent="0.25">
      <c r="R85" s="131"/>
      <c r="S85" s="3"/>
      <c r="T85" s="8"/>
      <c r="U85" s="80"/>
      <c r="AG85" s="47"/>
    </row>
    <row r="86" spans="18:33" ht="15.75" x14ac:dyDescent="0.25">
      <c r="R86" s="131"/>
      <c r="S86" s="3"/>
      <c r="T86" s="8"/>
      <c r="U86" s="80"/>
      <c r="AG86" s="47"/>
    </row>
    <row r="87" spans="18:33" ht="15.75" x14ac:dyDescent="0.25">
      <c r="R87" s="131"/>
      <c r="S87" s="3"/>
      <c r="T87" s="8"/>
      <c r="U87" s="80"/>
      <c r="AG87" s="47"/>
    </row>
    <row r="88" spans="18:33" ht="15.75" x14ac:dyDescent="0.25">
      <c r="R88" s="131"/>
      <c r="S88" s="3"/>
      <c r="T88" s="8"/>
      <c r="U88" s="80"/>
      <c r="AG88" s="47"/>
    </row>
    <row r="89" spans="18:33" ht="15.75" x14ac:dyDescent="0.25">
      <c r="R89" s="131"/>
      <c r="S89" s="3"/>
      <c r="T89" s="8"/>
      <c r="U89" s="80"/>
      <c r="AG89" s="47"/>
    </row>
    <row r="90" spans="18:33" ht="15.75" x14ac:dyDescent="0.25">
      <c r="R90" s="131"/>
      <c r="S90" s="3"/>
      <c r="T90" s="8"/>
      <c r="U90" s="80"/>
    </row>
    <row r="91" spans="18:33" x14ac:dyDescent="0.25">
      <c r="R91" s="131"/>
      <c r="S91" s="80"/>
      <c r="T91" s="80"/>
      <c r="U91" s="80"/>
    </row>
  </sheetData>
  <sheetProtection algorithmName="SHA-512" hashValue="qloyLdfETq4f421kw2Tlkko+m4rLf+vSyzTc+rKudugURySmY681eguuRweDsWB/62OWQDtc0PD6dq4ZqolPvw==" saltValue="KUMug9ABd1DOL+r2JgO6gA==" spinCount="100000" sheet="1" objects="1" scenarios="1"/>
  <mergeCells count="1">
    <mergeCell ref="R1:AC1"/>
  </mergeCells>
  <conditionalFormatting sqref="T73:T74 W73:W74 Z73:Z74">
    <cfRule type="cellIs" dxfId="2384" priority="38" operator="lessThan">
      <formula>0</formula>
    </cfRule>
  </conditionalFormatting>
  <conditionalFormatting sqref="AH20:AH22 AH42:AH57 AH33:AH37 AH59:AH72 AH4:AH17 AH24:AH31">
    <cfRule type="cellIs" dxfId="2383" priority="35" operator="lessThan">
      <formula>I4</formula>
    </cfRule>
    <cfRule type="cellIs" dxfId="2382" priority="36" operator="greaterThan">
      <formula>I4</formula>
    </cfRule>
    <cfRule type="cellIs" dxfId="2381" priority="37" operator="equal">
      <formula>I4</formula>
    </cfRule>
  </conditionalFormatting>
  <conditionalFormatting sqref="AH32">
    <cfRule type="cellIs" dxfId="2380" priority="31" operator="greaterThan">
      <formula>$I$32</formula>
    </cfRule>
    <cfRule type="cellIs" dxfId="2379" priority="32" operator="lessThan">
      <formula>$I$32</formula>
    </cfRule>
    <cfRule type="cellIs" dxfId="2378" priority="33" operator="equal">
      <formula>$I$32</formula>
    </cfRule>
    <cfRule type="cellIs" dxfId="2377" priority="34" operator="equal">
      <formula>$P$32</formula>
    </cfRule>
  </conditionalFormatting>
  <conditionalFormatting sqref="E41 E44:E1048576 E1:E24 E26:E37">
    <cfRule type="cellIs" dxfId="2376" priority="29" operator="equal">
      <formula>"no"</formula>
    </cfRule>
    <cfRule type="cellIs" dxfId="2375" priority="30" operator="equal">
      <formula>"yes"</formula>
    </cfRule>
  </conditionalFormatting>
  <conditionalFormatting sqref="E25">
    <cfRule type="cellIs" dxfId="2374" priority="27" operator="equal">
      <formula>"no"</formula>
    </cfRule>
    <cfRule type="cellIs" dxfId="2373" priority="28" operator="equal">
      <formula>"yes"</formula>
    </cfRule>
  </conditionalFormatting>
  <conditionalFormatting sqref="E42">
    <cfRule type="cellIs" dxfId="2372" priority="25" operator="equal">
      <formula>"no"</formula>
    </cfRule>
    <cfRule type="cellIs" dxfId="2371" priority="26" operator="equal">
      <formula>"yes"</formula>
    </cfRule>
  </conditionalFormatting>
  <conditionalFormatting sqref="E43">
    <cfRule type="cellIs" dxfId="2370" priority="23" operator="equal">
      <formula>"no"</formula>
    </cfRule>
    <cfRule type="cellIs" dxfId="2369" priority="24" operator="equal">
      <formula>"yes"</formula>
    </cfRule>
  </conditionalFormatting>
  <conditionalFormatting sqref="I12 I59:I68 I14:I16">
    <cfRule type="cellIs" dxfId="2368" priority="17" operator="equal">
      <formula>0</formula>
    </cfRule>
  </conditionalFormatting>
  <conditionalFormatting sqref="I42:I56">
    <cfRule type="cellIs" dxfId="2367" priority="16" operator="equal">
      <formula>0</formula>
    </cfRule>
  </conditionalFormatting>
  <conditionalFormatting sqref="I4:I16">
    <cfRule type="cellIs" dxfId="2366" priority="15" operator="equal">
      <formula>0</formula>
    </cfRule>
  </conditionalFormatting>
  <conditionalFormatting sqref="I19:I21">
    <cfRule type="cellIs" dxfId="2365" priority="14" operator="equal">
      <formula>0</formula>
    </cfRule>
  </conditionalFormatting>
  <conditionalFormatting sqref="AH19">
    <cfRule type="cellIs" dxfId="2364" priority="11" operator="lessThan">
      <formula>I19</formula>
    </cfRule>
    <cfRule type="cellIs" dxfId="2363" priority="12" operator="greaterThan">
      <formula>I19</formula>
    </cfRule>
    <cfRule type="cellIs" dxfId="2362" priority="13" operator="equal">
      <formula>I19</formula>
    </cfRule>
  </conditionalFormatting>
  <conditionalFormatting sqref="AH39">
    <cfRule type="cellIs" dxfId="2361" priority="8" operator="lessThan">
      <formula>I39</formula>
    </cfRule>
    <cfRule type="cellIs" dxfId="2360" priority="9" operator="greaterThan">
      <formula>I39</formula>
    </cfRule>
    <cfRule type="cellIs" dxfId="2359" priority="10" operator="equal">
      <formula>I39</formula>
    </cfRule>
  </conditionalFormatting>
  <conditionalFormatting sqref="E38:E39">
    <cfRule type="cellIs" dxfId="2358" priority="6" operator="equal">
      <formula>"no"</formula>
    </cfRule>
    <cfRule type="cellIs" dxfId="2357" priority="7" operator="equal">
      <formula>"yes"</formula>
    </cfRule>
  </conditionalFormatting>
  <conditionalFormatting sqref="AH40">
    <cfRule type="cellIs" dxfId="2356" priority="3" operator="lessThan">
      <formula>I40</formula>
    </cfRule>
    <cfRule type="cellIs" dxfId="2355" priority="4" operator="greaterThan">
      <formula>I40</formula>
    </cfRule>
    <cfRule type="cellIs" dxfId="2354" priority="5" operator="equal">
      <formula>I40</formula>
    </cfRule>
  </conditionalFormatting>
  <conditionalFormatting sqref="E40">
    <cfRule type="cellIs" dxfId="2353" priority="1" operator="equal">
      <formula>"no"</formula>
    </cfRule>
    <cfRule type="cellIs" dxfId="2352" priority="2" operator="equal">
      <formula>"yes"</formula>
    </cfRule>
  </conditionalFormatting>
  <pageMargins left="0.2" right="0.25" top="0.75" bottom="0.75" header="0.3" footer="0.3"/>
  <pageSetup paperSize="5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38D7E-EEAB-4272-937A-FD79F0ABB091}">
  <dimension ref="A1:AJ107"/>
  <sheetViews>
    <sheetView zoomScale="70" zoomScaleNormal="7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A80" sqref="A80"/>
    </sheetView>
  </sheetViews>
  <sheetFormatPr defaultRowHeight="15" x14ac:dyDescent="0.25"/>
  <cols>
    <col min="1" max="1" width="12.42578125" customWidth="1"/>
    <col min="2" max="2" width="43.5703125" bestFit="1" customWidth="1"/>
    <col min="3" max="3" width="5.5703125" style="74" customWidth="1"/>
    <col min="4" max="5" width="11.5703125" style="74" customWidth="1"/>
    <col min="6" max="6" width="13.5703125" style="74" customWidth="1"/>
    <col min="7" max="7" width="12.5703125" style="74" customWidth="1"/>
    <col min="8" max="8" width="14.5703125" style="38" customWidth="1"/>
    <col min="9" max="9" width="17.42578125" style="78" customWidth="1"/>
    <col min="10" max="14" width="15.5703125" style="78" customWidth="1"/>
    <col min="15" max="15" width="4" style="79" customWidth="1"/>
    <col min="16" max="16" width="17.42578125" style="78" bestFit="1" customWidth="1"/>
    <col min="17" max="17" width="3.42578125" style="79" customWidth="1"/>
    <col min="18" max="20" width="19.5703125" style="78" customWidth="1"/>
    <col min="21" max="23" width="19.5703125" style="81" customWidth="1"/>
    <col min="24" max="29" width="19.5703125" style="78" customWidth="1"/>
    <col min="30" max="30" width="4" style="79" customWidth="1"/>
    <col min="31" max="31" width="18.42578125" style="78" customWidth="1"/>
    <col min="32" max="32" width="16.5703125" style="78" customWidth="1"/>
    <col min="33" max="33" width="3.42578125" style="79" customWidth="1"/>
    <col min="34" max="34" width="14.42578125" style="78" customWidth="1"/>
    <col min="35" max="35" width="3.42578125" style="79" customWidth="1"/>
    <col min="36" max="36" width="16" customWidth="1"/>
  </cols>
  <sheetData>
    <row r="1" spans="1:36" s="36" customFormat="1" x14ac:dyDescent="0.25">
      <c r="C1" s="37"/>
      <c r="D1" s="37"/>
      <c r="E1" s="37"/>
      <c r="F1" s="37"/>
      <c r="G1" s="37"/>
      <c r="H1" s="38"/>
      <c r="I1" s="39"/>
      <c r="J1" s="39"/>
      <c r="K1" s="39"/>
      <c r="L1" s="39"/>
      <c r="M1" s="39"/>
      <c r="N1" s="39"/>
      <c r="O1" s="40"/>
      <c r="P1" s="41">
        <v>2020</v>
      </c>
      <c r="Q1" s="42"/>
      <c r="R1" s="526">
        <v>2021</v>
      </c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8"/>
      <c r="AD1" s="40"/>
      <c r="AE1" s="41">
        <v>2022</v>
      </c>
      <c r="AF1" s="43">
        <v>2023</v>
      </c>
      <c r="AG1" s="42"/>
      <c r="AH1" s="41"/>
      <c r="AI1" s="42"/>
    </row>
    <row r="2" spans="1:36" s="36" customFormat="1" ht="31.5" x14ac:dyDescent="0.25">
      <c r="A2" s="62"/>
      <c r="B2" s="63"/>
      <c r="C2" s="44" t="s">
        <v>342</v>
      </c>
      <c r="D2" s="44" t="s">
        <v>343</v>
      </c>
      <c r="E2" s="44" t="s">
        <v>344</v>
      </c>
      <c r="F2" s="44" t="s">
        <v>345</v>
      </c>
      <c r="G2" s="44" t="s">
        <v>346</v>
      </c>
      <c r="H2" s="45" t="s">
        <v>347</v>
      </c>
      <c r="I2" s="46" t="s">
        <v>348</v>
      </c>
      <c r="J2" s="46" t="s">
        <v>349</v>
      </c>
      <c r="K2" s="82" t="s">
        <v>350</v>
      </c>
      <c r="L2" s="82" t="s">
        <v>351</v>
      </c>
      <c r="M2" s="82" t="s">
        <v>350</v>
      </c>
      <c r="N2" s="82"/>
      <c r="O2" s="47"/>
      <c r="P2" s="46" t="s">
        <v>352</v>
      </c>
      <c r="Q2" s="47"/>
      <c r="R2" s="46" t="s">
        <v>353</v>
      </c>
      <c r="S2" s="46" t="s">
        <v>354</v>
      </c>
      <c r="T2" s="46" t="s">
        <v>355</v>
      </c>
      <c r="U2" s="48" t="s">
        <v>356</v>
      </c>
      <c r="V2" s="48" t="s">
        <v>357</v>
      </c>
      <c r="W2" s="46" t="s">
        <v>358</v>
      </c>
      <c r="X2" s="46" t="s">
        <v>359</v>
      </c>
      <c r="Y2" s="48" t="s">
        <v>360</v>
      </c>
      <c r="Z2" s="46" t="s">
        <v>361</v>
      </c>
      <c r="AA2" s="46" t="s">
        <v>362</v>
      </c>
      <c r="AB2" s="48" t="s">
        <v>363</v>
      </c>
      <c r="AC2" s="46" t="s">
        <v>364</v>
      </c>
      <c r="AD2" s="47"/>
      <c r="AE2" s="46" t="s">
        <v>352</v>
      </c>
      <c r="AF2" s="48" t="s">
        <v>352</v>
      </c>
      <c r="AG2" s="47"/>
      <c r="AH2" s="46" t="s">
        <v>365</v>
      </c>
      <c r="AI2" s="47"/>
      <c r="AJ2" s="49" t="s">
        <v>366</v>
      </c>
    </row>
    <row r="3" spans="1:36" s="36" customFormat="1" ht="15.75" x14ac:dyDescent="0.25">
      <c r="A3" s="106" t="s">
        <v>400</v>
      </c>
      <c r="B3" s="107"/>
      <c r="C3" s="101" t="s">
        <v>368</v>
      </c>
      <c r="D3" s="102"/>
      <c r="E3" s="102"/>
      <c r="F3" s="102"/>
      <c r="G3" s="102"/>
      <c r="H3" s="84"/>
      <c r="I3" s="103"/>
      <c r="J3" s="103"/>
      <c r="K3" s="103"/>
      <c r="L3" s="103"/>
      <c r="M3" s="103"/>
      <c r="N3" s="103"/>
      <c r="O3" s="47"/>
      <c r="P3" s="103"/>
      <c r="Q3" s="47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47"/>
      <c r="AE3" s="103"/>
      <c r="AF3" s="103"/>
      <c r="AG3" s="47"/>
      <c r="AH3" s="103"/>
      <c r="AI3" s="51"/>
    </row>
    <row r="4" spans="1:36" s="36" customFormat="1" ht="15.75" x14ac:dyDescent="0.25">
      <c r="A4" s="104" t="s">
        <v>288</v>
      </c>
      <c r="B4" s="105" t="s">
        <v>289</v>
      </c>
      <c r="C4" s="52" t="s">
        <v>368</v>
      </c>
      <c r="D4" s="52" t="s">
        <v>369</v>
      </c>
      <c r="E4" s="52" t="s">
        <v>370</v>
      </c>
      <c r="F4" s="87" t="e">
        <f>#REF!</f>
        <v>#REF!</v>
      </c>
      <c r="G4" s="87" t="e">
        <f>#REF!</f>
        <v>#REF!</v>
      </c>
      <c r="H4" s="88" t="e">
        <f t="shared" ref="H4:H16" si="0">((G4-F4)/7)/4.3</f>
        <v>#REF!</v>
      </c>
      <c r="I4" s="58" t="e">
        <f>#REF!</f>
        <v>#REF!</v>
      </c>
      <c r="J4" s="53"/>
      <c r="K4" s="53"/>
      <c r="L4" s="53"/>
      <c r="M4" s="53"/>
      <c r="N4" s="53"/>
      <c r="O4" s="47"/>
      <c r="P4" s="116">
        <v>628337</v>
      </c>
      <c r="Q4" s="47"/>
      <c r="R4" s="115">
        <v>137155</v>
      </c>
      <c r="S4" s="117">
        <v>19493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47"/>
      <c r="AE4" s="53"/>
      <c r="AF4" s="53"/>
      <c r="AG4" s="47"/>
      <c r="AH4" s="53">
        <f>SUM(P4:AG4)</f>
        <v>784985</v>
      </c>
      <c r="AI4" s="51"/>
      <c r="AJ4" s="55" t="e">
        <f>I4-AH4</f>
        <v>#REF!</v>
      </c>
    </row>
    <row r="5" spans="1:36" s="36" customFormat="1" ht="15.75" x14ac:dyDescent="0.25">
      <c r="A5" s="56" t="s">
        <v>292</v>
      </c>
      <c r="B5" s="57" t="s">
        <v>293</v>
      </c>
      <c r="C5" s="52" t="s">
        <v>368</v>
      </c>
      <c r="D5" s="52" t="s">
        <v>369</v>
      </c>
      <c r="E5" s="52" t="s">
        <v>370</v>
      </c>
      <c r="F5" s="87" t="e">
        <f>#REF!</f>
        <v>#REF!</v>
      </c>
      <c r="G5" s="87" t="e">
        <f>#REF!</f>
        <v>#REF!</v>
      </c>
      <c r="H5" s="88" t="e">
        <f t="shared" si="0"/>
        <v>#REF!</v>
      </c>
      <c r="I5" s="58" t="e">
        <f>#REF!</f>
        <v>#REF!</v>
      </c>
      <c r="J5" s="53"/>
      <c r="K5" s="53"/>
      <c r="L5" s="53"/>
      <c r="M5" s="53"/>
      <c r="N5" s="53"/>
      <c r="O5" s="47"/>
      <c r="P5" s="116">
        <v>162612</v>
      </c>
      <c r="Q5" s="47"/>
      <c r="R5" s="115">
        <v>95646</v>
      </c>
      <c r="S5" s="117">
        <v>39055</v>
      </c>
      <c r="T5" s="53"/>
      <c r="U5" s="53"/>
      <c r="V5" s="53"/>
      <c r="W5" s="53"/>
      <c r="X5" s="53"/>
      <c r="Y5" s="53"/>
      <c r="Z5" s="53"/>
      <c r="AA5" s="53"/>
      <c r="AB5" s="53"/>
      <c r="AC5" s="53"/>
      <c r="AD5" s="47"/>
      <c r="AE5" s="53"/>
      <c r="AF5" s="53"/>
      <c r="AG5" s="47"/>
      <c r="AH5" s="53">
        <f t="shared" ref="AH5:AH13" si="1">SUM(P5:AG5)</f>
        <v>297313</v>
      </c>
      <c r="AI5" s="51"/>
      <c r="AJ5" s="55" t="e">
        <f t="shared" ref="AJ5:AJ73" si="2">I5-AH5</f>
        <v>#REF!</v>
      </c>
    </row>
    <row r="6" spans="1:36" s="36" customFormat="1" ht="15.75" x14ac:dyDescent="0.25">
      <c r="A6" s="56" t="s">
        <v>295</v>
      </c>
      <c r="B6" s="57" t="s">
        <v>296</v>
      </c>
      <c r="C6" s="52" t="s">
        <v>368</v>
      </c>
      <c r="D6" s="52" t="s">
        <v>369</v>
      </c>
      <c r="E6" s="52" t="s">
        <v>370</v>
      </c>
      <c r="F6" s="87" t="e">
        <f>#REF!</f>
        <v>#REF!</v>
      </c>
      <c r="G6" s="87" t="e">
        <f>#REF!</f>
        <v>#REF!</v>
      </c>
      <c r="H6" s="88" t="e">
        <f t="shared" si="0"/>
        <v>#REF!</v>
      </c>
      <c r="I6" s="58" t="e">
        <f>#REF!</f>
        <v>#REF!</v>
      </c>
      <c r="J6" s="53"/>
      <c r="K6" s="53"/>
      <c r="L6" s="53"/>
      <c r="M6" s="53"/>
      <c r="N6" s="53"/>
      <c r="O6" s="47"/>
      <c r="P6" s="116">
        <v>131745</v>
      </c>
      <c r="Q6" s="47"/>
      <c r="R6" s="115">
        <v>62828</v>
      </c>
      <c r="S6" s="117">
        <v>27944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47"/>
      <c r="AE6" s="53"/>
      <c r="AF6" s="53"/>
      <c r="AG6" s="47"/>
      <c r="AH6" s="53">
        <f t="shared" si="1"/>
        <v>222517</v>
      </c>
      <c r="AI6" s="51"/>
      <c r="AJ6" s="55" t="e">
        <f t="shared" si="2"/>
        <v>#REF!</v>
      </c>
    </row>
    <row r="7" spans="1:36" s="36" customFormat="1" ht="15.75" x14ac:dyDescent="0.25">
      <c r="A7" s="34" t="s">
        <v>166</v>
      </c>
      <c r="B7" s="35" t="s">
        <v>168</v>
      </c>
      <c r="C7" s="52" t="s">
        <v>368</v>
      </c>
      <c r="D7" s="52" t="s">
        <v>371</v>
      </c>
      <c r="E7" s="52" t="s">
        <v>320</v>
      </c>
      <c r="F7" s="87" t="e">
        <f>#REF!</f>
        <v>#REF!</v>
      </c>
      <c r="G7" s="87" t="e">
        <f>#REF!</f>
        <v>#REF!</v>
      </c>
      <c r="H7" s="88" t="e">
        <f t="shared" si="0"/>
        <v>#REF!</v>
      </c>
      <c r="I7" s="58" t="e">
        <f>#REF!</f>
        <v>#REF!</v>
      </c>
      <c r="J7" s="53"/>
      <c r="K7" s="53"/>
      <c r="L7" s="53"/>
      <c r="M7" s="53"/>
      <c r="N7" s="53"/>
      <c r="O7" s="47"/>
      <c r="P7" s="116"/>
      <c r="Q7" s="47"/>
      <c r="R7" s="115"/>
      <c r="S7" s="58"/>
      <c r="T7" s="54">
        <v>75000</v>
      </c>
      <c r="U7" s="54">
        <v>100000</v>
      </c>
      <c r="V7" s="54">
        <f t="shared" ref="V7:AA7" si="3">1000000/8</f>
        <v>125000</v>
      </c>
      <c r="W7" s="54">
        <f t="shared" si="3"/>
        <v>125000</v>
      </c>
      <c r="X7" s="54">
        <f t="shared" si="3"/>
        <v>125000</v>
      </c>
      <c r="Y7" s="54">
        <f t="shared" si="3"/>
        <v>125000</v>
      </c>
      <c r="Z7" s="54">
        <f t="shared" si="3"/>
        <v>125000</v>
      </c>
      <c r="AA7" s="54">
        <f t="shared" si="3"/>
        <v>125000</v>
      </c>
      <c r="AB7" s="54">
        <v>75000</v>
      </c>
      <c r="AC7" s="53"/>
      <c r="AD7" s="47"/>
      <c r="AE7" s="53"/>
      <c r="AF7" s="53"/>
      <c r="AG7" s="47"/>
      <c r="AH7" s="53">
        <f t="shared" si="1"/>
        <v>1000000</v>
      </c>
      <c r="AI7" s="51"/>
      <c r="AJ7" s="55" t="e">
        <f t="shared" si="2"/>
        <v>#REF!</v>
      </c>
    </row>
    <row r="8" spans="1:36" s="36" customFormat="1" ht="15.75" x14ac:dyDescent="0.25">
      <c r="A8" s="56" t="s">
        <v>23</v>
      </c>
      <c r="B8" s="57" t="s">
        <v>25</v>
      </c>
      <c r="C8" s="52" t="s">
        <v>368</v>
      </c>
      <c r="D8" s="52" t="s">
        <v>369</v>
      </c>
      <c r="E8" s="52" t="s">
        <v>370</v>
      </c>
      <c r="F8" s="87">
        <f>'Sheet 2'!T17</f>
        <v>44272</v>
      </c>
      <c r="G8" s="87">
        <f>'Sheet 2'!U17</f>
        <v>44406</v>
      </c>
      <c r="H8" s="88">
        <f t="shared" si="0"/>
        <v>4.4518272425249172</v>
      </c>
      <c r="I8" s="58">
        <f>'Sheet 2'!S17</f>
        <v>355000</v>
      </c>
      <c r="J8" s="53"/>
      <c r="K8" s="53"/>
      <c r="L8" s="53"/>
      <c r="M8" s="53"/>
      <c r="N8" s="53"/>
      <c r="O8" s="47"/>
      <c r="P8" s="116">
        <v>244435</v>
      </c>
      <c r="Q8" s="47"/>
      <c r="R8" s="115">
        <v>181308</v>
      </c>
      <c r="S8" s="54">
        <v>150000</v>
      </c>
      <c r="T8" s="54">
        <v>150000</v>
      </c>
      <c r="U8" s="54">
        <v>150000</v>
      </c>
      <c r="V8" s="54">
        <v>135000</v>
      </c>
      <c r="W8" s="54">
        <v>135000</v>
      </c>
      <c r="X8" s="54">
        <v>61941</v>
      </c>
      <c r="Y8" s="53"/>
      <c r="Z8" s="53"/>
      <c r="AA8" s="53"/>
      <c r="AB8" s="53"/>
      <c r="AC8" s="53"/>
      <c r="AD8" s="47"/>
      <c r="AE8" s="53"/>
      <c r="AF8" s="53"/>
      <c r="AG8" s="47"/>
      <c r="AH8" s="53">
        <f t="shared" si="1"/>
        <v>1207684</v>
      </c>
      <c r="AI8" s="51"/>
      <c r="AJ8" s="55">
        <f t="shared" si="2"/>
        <v>-852684</v>
      </c>
    </row>
    <row r="9" spans="1:36" s="36" customFormat="1" ht="15.75" x14ac:dyDescent="0.25">
      <c r="A9" s="56" t="s">
        <v>31</v>
      </c>
      <c r="B9" s="57" t="s">
        <v>32</v>
      </c>
      <c r="C9" s="52" t="s">
        <v>368</v>
      </c>
      <c r="D9" s="52" t="s">
        <v>369</v>
      </c>
      <c r="E9" s="52" t="s">
        <v>370</v>
      </c>
      <c r="F9" s="87" t="e">
        <f>#REF!</f>
        <v>#REF!</v>
      </c>
      <c r="G9" s="87" t="e">
        <f>#REF!</f>
        <v>#REF!</v>
      </c>
      <c r="H9" s="88" t="e">
        <f t="shared" si="0"/>
        <v>#REF!</v>
      </c>
      <c r="I9" s="58" t="e">
        <f>#REF!</f>
        <v>#REF!</v>
      </c>
      <c r="J9" s="53"/>
      <c r="K9" s="53"/>
      <c r="L9" s="53"/>
      <c r="M9" s="53"/>
      <c r="N9" s="53"/>
      <c r="O9" s="47"/>
      <c r="P9" s="116">
        <v>46929</v>
      </c>
      <c r="Q9" s="47"/>
      <c r="R9" s="115">
        <v>38525</v>
      </c>
      <c r="S9" s="58"/>
      <c r="T9" s="58"/>
      <c r="U9" s="54">
        <f>195344/4</f>
        <v>48836</v>
      </c>
      <c r="V9" s="54">
        <f>195344/4</f>
        <v>48836</v>
      </c>
      <c r="W9" s="54">
        <f>195344/4</f>
        <v>48836</v>
      </c>
      <c r="X9" s="54">
        <v>35611</v>
      </c>
      <c r="Y9" s="53"/>
      <c r="Z9" s="53"/>
      <c r="AA9" s="53"/>
      <c r="AB9" s="53"/>
      <c r="AC9" s="53"/>
      <c r="AD9" s="47"/>
      <c r="AE9" s="53"/>
      <c r="AF9" s="53"/>
      <c r="AG9" s="47"/>
      <c r="AH9" s="53">
        <f t="shared" si="1"/>
        <v>267573</v>
      </c>
      <c r="AI9" s="51"/>
      <c r="AJ9" s="55" t="e">
        <f t="shared" si="2"/>
        <v>#REF!</v>
      </c>
    </row>
    <row r="10" spans="1:36" s="36" customFormat="1" ht="15.75" x14ac:dyDescent="0.25">
      <c r="A10" s="56" t="s">
        <v>33</v>
      </c>
      <c r="B10" s="57" t="s">
        <v>34</v>
      </c>
      <c r="C10" s="52" t="s">
        <v>368</v>
      </c>
      <c r="D10" s="52" t="s">
        <v>369</v>
      </c>
      <c r="E10" s="52" t="s">
        <v>370</v>
      </c>
      <c r="F10" s="87" t="e">
        <f>#REF!</f>
        <v>#REF!</v>
      </c>
      <c r="G10" s="87" t="e">
        <f>#REF!</f>
        <v>#REF!</v>
      </c>
      <c r="H10" s="88" t="e">
        <f t="shared" si="0"/>
        <v>#REF!</v>
      </c>
      <c r="I10" s="58" t="e">
        <f>#REF!</f>
        <v>#REF!</v>
      </c>
      <c r="J10" s="53"/>
      <c r="K10" s="53"/>
      <c r="L10" s="53"/>
      <c r="M10" s="53"/>
      <c r="N10" s="53"/>
      <c r="O10" s="47"/>
      <c r="P10" s="116">
        <v>34010</v>
      </c>
      <c r="Q10" s="47"/>
      <c r="R10" s="115">
        <v>31345</v>
      </c>
      <c r="S10" s="58"/>
      <c r="T10" s="58"/>
      <c r="U10" s="54">
        <f>184520/4</f>
        <v>46130</v>
      </c>
      <c r="V10" s="54">
        <f>184520/4</f>
        <v>46130</v>
      </c>
      <c r="W10" s="54">
        <f>184520/4</f>
        <v>46130</v>
      </c>
      <c r="X10" s="54">
        <v>26425</v>
      </c>
      <c r="Y10" s="53"/>
      <c r="Z10" s="53"/>
      <c r="AA10" s="53"/>
      <c r="AB10" s="53"/>
      <c r="AC10" s="53"/>
      <c r="AD10" s="47"/>
      <c r="AE10" s="53"/>
      <c r="AF10" s="53"/>
      <c r="AG10" s="47"/>
      <c r="AH10" s="53">
        <f t="shared" si="1"/>
        <v>230170</v>
      </c>
      <c r="AI10" s="51"/>
      <c r="AJ10" s="55" t="e">
        <f t="shared" si="2"/>
        <v>#REF!</v>
      </c>
    </row>
    <row r="11" spans="1:36" s="36" customFormat="1" ht="15.75" x14ac:dyDescent="0.25">
      <c r="A11" s="56" t="s">
        <v>35</v>
      </c>
      <c r="B11" s="57" t="s">
        <v>36</v>
      </c>
      <c r="C11" s="52" t="s">
        <v>368</v>
      </c>
      <c r="D11" s="52" t="s">
        <v>401</v>
      </c>
      <c r="E11" s="52" t="s">
        <v>370</v>
      </c>
      <c r="F11" s="87" t="e">
        <f>#REF!</f>
        <v>#REF!</v>
      </c>
      <c r="G11" s="87" t="e">
        <f>#REF!</f>
        <v>#REF!</v>
      </c>
      <c r="H11" s="88" t="e">
        <f t="shared" si="0"/>
        <v>#REF!</v>
      </c>
      <c r="I11" s="58" t="e">
        <f>#REF!</f>
        <v>#REF!</v>
      </c>
      <c r="J11" s="53"/>
      <c r="K11" s="53"/>
      <c r="L11" s="53"/>
      <c r="M11" s="53"/>
      <c r="N11" s="53"/>
      <c r="O11" s="47"/>
      <c r="P11" s="116">
        <v>230830</v>
      </c>
      <c r="Q11" s="47"/>
      <c r="R11" s="115">
        <v>155142</v>
      </c>
      <c r="S11" s="54">
        <v>100518</v>
      </c>
      <c r="T11" s="54">
        <v>100518</v>
      </c>
      <c r="U11" s="54">
        <v>100518</v>
      </c>
      <c r="V11" s="54">
        <v>100518</v>
      </c>
      <c r="W11" s="54">
        <v>100518</v>
      </c>
      <c r="X11" s="54">
        <v>50000</v>
      </c>
      <c r="Y11" s="54">
        <v>45984</v>
      </c>
      <c r="Z11" s="53"/>
      <c r="AA11" s="53"/>
      <c r="AB11" s="53"/>
      <c r="AC11" s="53"/>
      <c r="AD11" s="47"/>
      <c r="AE11" s="53"/>
      <c r="AF11" s="53"/>
      <c r="AG11" s="47"/>
      <c r="AH11" s="53">
        <f t="shared" si="1"/>
        <v>984546</v>
      </c>
      <c r="AI11" s="51"/>
      <c r="AJ11" s="55" t="e">
        <f t="shared" si="2"/>
        <v>#REF!</v>
      </c>
    </row>
    <row r="12" spans="1:36" s="36" customFormat="1" ht="15.75" x14ac:dyDescent="0.25">
      <c r="A12" s="34" t="s">
        <v>170</v>
      </c>
      <c r="B12" s="35" t="s">
        <v>171</v>
      </c>
      <c r="C12" s="52" t="s">
        <v>368</v>
      </c>
      <c r="D12" s="52" t="s">
        <v>45</v>
      </c>
      <c r="E12" s="52" t="s">
        <v>320</v>
      </c>
      <c r="F12" s="52">
        <f>'Sheet 2'!T12</f>
        <v>44256</v>
      </c>
      <c r="G12" s="52">
        <f>'Sheet 2'!U12</f>
        <v>44557</v>
      </c>
      <c r="H12" s="50">
        <f>((G12-F12)/7)/4.3</f>
        <v>10</v>
      </c>
      <c r="I12" s="53">
        <f>'Sheet 2'!S12</f>
        <v>1375000</v>
      </c>
      <c r="J12" s="53"/>
      <c r="K12" s="53"/>
      <c r="L12" s="53"/>
      <c r="M12" s="53"/>
      <c r="N12" s="53"/>
      <c r="O12" s="47"/>
      <c r="P12" s="115"/>
      <c r="Q12" s="47"/>
      <c r="R12" s="115"/>
      <c r="S12" s="53"/>
      <c r="T12" s="54">
        <v>75000</v>
      </c>
      <c r="U12" s="54">
        <v>100000</v>
      </c>
      <c r="V12" s="54">
        <v>100000</v>
      </c>
      <c r="W12" s="54">
        <v>125000</v>
      </c>
      <c r="X12" s="54">
        <v>125000</v>
      </c>
      <c r="Y12" s="54">
        <v>125000</v>
      </c>
      <c r="Z12" s="54">
        <v>125000</v>
      </c>
      <c r="AA12" s="54">
        <v>125000</v>
      </c>
      <c r="AB12" s="54">
        <v>75000</v>
      </c>
      <c r="AC12" s="58"/>
      <c r="AD12" s="47"/>
      <c r="AE12" s="53"/>
      <c r="AF12" s="53"/>
      <c r="AG12" s="47"/>
      <c r="AH12" s="53">
        <f>SUM(P12:AG12)</f>
        <v>975000</v>
      </c>
      <c r="AI12" s="51"/>
      <c r="AJ12" s="55">
        <f t="shared" si="2"/>
        <v>400000</v>
      </c>
    </row>
    <row r="13" spans="1:36" s="36" customFormat="1" ht="15.75" x14ac:dyDescent="0.25">
      <c r="A13" s="34" t="s">
        <v>41</v>
      </c>
      <c r="B13" s="35" t="s">
        <v>42</v>
      </c>
      <c r="C13" s="52" t="s">
        <v>368</v>
      </c>
      <c r="D13" s="52" t="s">
        <v>371</v>
      </c>
      <c r="E13" s="52" t="s">
        <v>320</v>
      </c>
      <c r="F13" s="87" t="e">
        <f>#REF!</f>
        <v>#REF!</v>
      </c>
      <c r="G13" s="87" t="e">
        <f>#REF!</f>
        <v>#REF!</v>
      </c>
      <c r="H13" s="88" t="e">
        <f t="shared" si="0"/>
        <v>#REF!</v>
      </c>
      <c r="I13" s="58" t="e">
        <f>#REF!</f>
        <v>#REF!</v>
      </c>
      <c r="J13" s="53"/>
      <c r="K13" s="53"/>
      <c r="L13" s="53"/>
      <c r="M13" s="53"/>
      <c r="N13" s="53"/>
      <c r="O13" s="47"/>
      <c r="P13" s="115"/>
      <c r="Q13" s="47"/>
      <c r="R13" s="115"/>
      <c r="S13" s="54">
        <f t="shared" ref="S13:X13" si="4">723063/6</f>
        <v>120510.5</v>
      </c>
      <c r="T13" s="54">
        <f t="shared" si="4"/>
        <v>120510.5</v>
      </c>
      <c r="U13" s="54">
        <f t="shared" si="4"/>
        <v>120510.5</v>
      </c>
      <c r="V13" s="54">
        <f t="shared" si="4"/>
        <v>120510.5</v>
      </c>
      <c r="W13" s="54">
        <f t="shared" si="4"/>
        <v>120510.5</v>
      </c>
      <c r="X13" s="54">
        <f t="shared" si="4"/>
        <v>120510.5</v>
      </c>
      <c r="Y13" s="58"/>
      <c r="Z13" s="58"/>
      <c r="AA13" s="58"/>
      <c r="AB13" s="58"/>
      <c r="AC13" s="53"/>
      <c r="AD13" s="47"/>
      <c r="AE13" s="53"/>
      <c r="AF13" s="53"/>
      <c r="AG13" s="47"/>
      <c r="AH13" s="53">
        <f t="shared" si="1"/>
        <v>723063</v>
      </c>
      <c r="AI13" s="51"/>
      <c r="AJ13" s="55" t="e">
        <f t="shared" si="2"/>
        <v>#REF!</v>
      </c>
    </row>
    <row r="14" spans="1:36" s="36" customFormat="1" ht="15.75" x14ac:dyDescent="0.25">
      <c r="A14" s="111" t="s">
        <v>174</v>
      </c>
      <c r="B14" s="112" t="s">
        <v>175</v>
      </c>
      <c r="C14" s="52" t="s">
        <v>368</v>
      </c>
      <c r="D14" s="52" t="s">
        <v>45</v>
      </c>
      <c r="E14" s="52" t="s">
        <v>320</v>
      </c>
      <c r="F14" s="52" t="e">
        <f>#REF!</f>
        <v>#REF!</v>
      </c>
      <c r="G14" s="52" t="e">
        <f>#REF!</f>
        <v>#REF!</v>
      </c>
      <c r="H14" s="50" t="e">
        <f>((G14-F14)/7)/4.3</f>
        <v>#REF!</v>
      </c>
      <c r="I14" s="53" t="e">
        <f>#REF!</f>
        <v>#REF!</v>
      </c>
      <c r="J14" s="53"/>
      <c r="K14" s="53"/>
      <c r="L14" s="53"/>
      <c r="M14" s="53"/>
      <c r="N14" s="53"/>
      <c r="O14" s="47"/>
      <c r="P14" s="115"/>
      <c r="Q14" s="47"/>
      <c r="R14" s="115"/>
      <c r="S14" s="53"/>
      <c r="T14" s="53"/>
      <c r="U14" s="53"/>
      <c r="V14" s="54"/>
      <c r="W14" s="54"/>
      <c r="X14" s="54"/>
      <c r="Y14" s="54"/>
      <c r="Z14" s="54"/>
      <c r="AA14" s="54"/>
      <c r="AB14" s="58"/>
      <c r="AC14" s="58"/>
      <c r="AD14" s="47"/>
      <c r="AE14" s="58"/>
      <c r="AF14" s="53"/>
      <c r="AG14" s="47"/>
      <c r="AH14" s="53">
        <f>SUM(P14:AG14)</f>
        <v>0</v>
      </c>
      <c r="AI14" s="51"/>
      <c r="AJ14" s="55" t="e">
        <f t="shared" si="2"/>
        <v>#REF!</v>
      </c>
    </row>
    <row r="15" spans="1:36" s="36" customFormat="1" ht="15.75" x14ac:dyDescent="0.25">
      <c r="A15" s="113" t="s">
        <v>176</v>
      </c>
      <c r="B15" s="114" t="s">
        <v>177</v>
      </c>
      <c r="C15" s="52" t="s">
        <v>368</v>
      </c>
      <c r="D15" s="52" t="s">
        <v>45</v>
      </c>
      <c r="E15" s="52" t="s">
        <v>320</v>
      </c>
      <c r="F15" s="52" t="e">
        <f>#REF!</f>
        <v>#REF!</v>
      </c>
      <c r="G15" s="52" t="e">
        <f>#REF!</f>
        <v>#REF!</v>
      </c>
      <c r="H15" s="50" t="e">
        <f>((G15-F15)/7)/4.3</f>
        <v>#REF!</v>
      </c>
      <c r="I15" s="53" t="e">
        <f>#REF!</f>
        <v>#REF!</v>
      </c>
      <c r="J15" s="53"/>
      <c r="K15" s="53"/>
      <c r="L15" s="53"/>
      <c r="M15" s="53"/>
      <c r="N15" s="53"/>
      <c r="O15" s="47"/>
      <c r="P15" s="115"/>
      <c r="Q15" s="47"/>
      <c r="R15" s="115"/>
      <c r="S15" s="53"/>
      <c r="T15" s="53"/>
      <c r="U15" s="53"/>
      <c r="V15" s="54">
        <v>25000</v>
      </c>
      <c r="W15" s="54">
        <f t="shared" ref="W15:AB15" si="5">200000/8</f>
        <v>25000</v>
      </c>
      <c r="X15" s="54">
        <f t="shared" si="5"/>
        <v>25000</v>
      </c>
      <c r="Y15" s="54">
        <f t="shared" si="5"/>
        <v>25000</v>
      </c>
      <c r="Z15" s="54">
        <f t="shared" si="5"/>
        <v>25000</v>
      </c>
      <c r="AA15" s="54">
        <f t="shared" si="5"/>
        <v>25000</v>
      </c>
      <c r="AB15" s="54">
        <f t="shared" si="5"/>
        <v>25000</v>
      </c>
      <c r="AC15" s="58"/>
      <c r="AD15" s="47"/>
      <c r="AE15" s="58"/>
      <c r="AF15" s="53"/>
      <c r="AG15" s="47"/>
      <c r="AH15" s="53">
        <f>SUM(P15:AG15)</f>
        <v>175000</v>
      </c>
      <c r="AI15" s="51"/>
      <c r="AJ15" s="55" t="e">
        <f t="shared" si="2"/>
        <v>#REF!</v>
      </c>
    </row>
    <row r="16" spans="1:36" s="36" customFormat="1" ht="15.75" x14ac:dyDescent="0.25">
      <c r="A16" s="34" t="s">
        <v>47</v>
      </c>
      <c r="B16" s="35" t="s">
        <v>48</v>
      </c>
      <c r="C16" s="52" t="s">
        <v>368</v>
      </c>
      <c r="D16" s="52" t="s">
        <v>401</v>
      </c>
      <c r="E16" s="52" t="s">
        <v>370</v>
      </c>
      <c r="F16" s="87" t="e">
        <f>#REF!</f>
        <v>#REF!</v>
      </c>
      <c r="G16" s="87" t="e">
        <f>#REF!</f>
        <v>#REF!</v>
      </c>
      <c r="H16" s="88" t="e">
        <f t="shared" si="0"/>
        <v>#REF!</v>
      </c>
      <c r="I16" s="58" t="e">
        <f>#REF!</f>
        <v>#REF!</v>
      </c>
      <c r="J16" s="53"/>
      <c r="K16" s="53"/>
      <c r="L16" s="53"/>
      <c r="M16" s="53"/>
      <c r="N16" s="53"/>
      <c r="O16" s="47"/>
      <c r="P16" s="115"/>
      <c r="Q16" s="47"/>
      <c r="R16" s="115"/>
      <c r="S16" s="54">
        <v>30000</v>
      </c>
      <c r="T16" s="54">
        <v>29405</v>
      </c>
      <c r="U16" s="58"/>
      <c r="V16" s="58"/>
      <c r="W16" s="58"/>
      <c r="X16" s="53"/>
      <c r="Y16" s="53"/>
      <c r="Z16" s="53"/>
      <c r="AA16" s="53"/>
      <c r="AB16" s="53"/>
      <c r="AC16" s="53"/>
      <c r="AD16" s="47"/>
      <c r="AE16" s="53"/>
      <c r="AF16" s="53"/>
      <c r="AG16" s="47"/>
      <c r="AH16" s="53">
        <f>SUM(P16:AG16)</f>
        <v>59405</v>
      </c>
      <c r="AI16" s="51"/>
      <c r="AJ16" s="55" t="e">
        <f t="shared" si="2"/>
        <v>#REF!</v>
      </c>
    </row>
    <row r="17" spans="1:36" s="36" customFormat="1" ht="15.75" x14ac:dyDescent="0.25">
      <c r="A17" s="95"/>
      <c r="B17" s="95"/>
      <c r="C17" s="91"/>
      <c r="D17" s="91"/>
      <c r="E17" s="91"/>
      <c r="F17" s="91"/>
      <c r="G17" s="91"/>
      <c r="H17" s="92"/>
      <c r="I17" s="59" t="e">
        <f>SUM(I4:I16)</f>
        <v>#REF!</v>
      </c>
      <c r="J17" s="59"/>
      <c r="K17" s="59"/>
      <c r="L17" s="59"/>
      <c r="M17" s="59"/>
      <c r="N17" s="59"/>
      <c r="O17" s="47"/>
      <c r="P17" s="59">
        <f>SUM(P4:P16)</f>
        <v>1478898</v>
      </c>
      <c r="Q17" s="47"/>
      <c r="R17" s="59">
        <f>SUM(R4:R16)</f>
        <v>701949</v>
      </c>
      <c r="S17" s="59">
        <f t="shared" ref="S17:AC17" si="6">SUM(S4:S16)</f>
        <v>487520.5</v>
      </c>
      <c r="T17" s="59">
        <f t="shared" si="6"/>
        <v>550433.5</v>
      </c>
      <c r="U17" s="59">
        <f t="shared" si="6"/>
        <v>665994.5</v>
      </c>
      <c r="V17" s="59">
        <f t="shared" si="6"/>
        <v>700994.5</v>
      </c>
      <c r="W17" s="59">
        <f t="shared" si="6"/>
        <v>725994.5</v>
      </c>
      <c r="X17" s="59">
        <f t="shared" si="6"/>
        <v>569487.5</v>
      </c>
      <c r="Y17" s="59">
        <f t="shared" si="6"/>
        <v>320984</v>
      </c>
      <c r="Z17" s="59">
        <f t="shared" si="6"/>
        <v>275000</v>
      </c>
      <c r="AA17" s="59">
        <f t="shared" si="6"/>
        <v>275000</v>
      </c>
      <c r="AB17" s="59">
        <f t="shared" si="6"/>
        <v>175000</v>
      </c>
      <c r="AC17" s="59">
        <f t="shared" si="6"/>
        <v>0</v>
      </c>
      <c r="AD17" s="47"/>
      <c r="AE17" s="59">
        <f>SUM(AE4:AE16)</f>
        <v>0</v>
      </c>
      <c r="AF17" s="59">
        <f>SUM(AF4:AF16)</f>
        <v>0</v>
      </c>
      <c r="AG17" s="47"/>
      <c r="AH17" s="53">
        <f>SUM(P17:AG17)</f>
        <v>6927256</v>
      </c>
      <c r="AI17" s="51"/>
      <c r="AJ17" s="55" t="e">
        <f t="shared" si="2"/>
        <v>#REF!</v>
      </c>
    </row>
    <row r="18" spans="1:36" s="36" customFormat="1" ht="15.75" x14ac:dyDescent="0.25">
      <c r="A18" s="106" t="s">
        <v>52</v>
      </c>
      <c r="B18" s="107"/>
      <c r="C18" s="101" t="s">
        <v>373</v>
      </c>
      <c r="D18" s="102"/>
      <c r="E18" s="102"/>
      <c r="F18" s="102"/>
      <c r="G18" s="102"/>
      <c r="H18" s="84"/>
      <c r="I18" s="103"/>
      <c r="J18" s="103"/>
      <c r="K18" s="103"/>
      <c r="L18" s="103"/>
      <c r="M18" s="103"/>
      <c r="N18" s="103"/>
      <c r="O18" s="47"/>
      <c r="P18" s="103"/>
      <c r="Q18" s="47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47"/>
      <c r="AE18" s="103"/>
      <c r="AF18" s="103"/>
      <c r="AG18" s="47"/>
      <c r="AH18" s="85"/>
      <c r="AI18" s="51"/>
      <c r="AJ18" s="55">
        <f t="shared" si="2"/>
        <v>0</v>
      </c>
    </row>
    <row r="19" spans="1:36" s="36" customFormat="1" ht="15.75" x14ac:dyDescent="0.25">
      <c r="A19" s="60" t="s">
        <v>49</v>
      </c>
      <c r="B19" s="61" t="s">
        <v>374</v>
      </c>
      <c r="C19" s="52" t="s">
        <v>373</v>
      </c>
      <c r="D19" s="52" t="s">
        <v>375</v>
      </c>
      <c r="E19" s="52" t="s">
        <v>370</v>
      </c>
      <c r="F19" s="87">
        <f>'Sheet 2'!T13</f>
        <v>44284</v>
      </c>
      <c r="G19" s="87">
        <v>44371.8</v>
      </c>
      <c r="H19" s="88">
        <f>((G19-F19)/7)/4.3</f>
        <v>2.916943521594781</v>
      </c>
      <c r="I19" s="58">
        <f>'Sheet 2'!S13</f>
        <v>650000</v>
      </c>
      <c r="J19" s="53">
        <v>8913792</v>
      </c>
      <c r="K19" s="53">
        <f>I19-J19</f>
        <v>-8263792</v>
      </c>
      <c r="L19" s="53">
        <v>8917546</v>
      </c>
      <c r="M19" s="53">
        <f>I19-L19</f>
        <v>-8267546</v>
      </c>
      <c r="N19" s="53">
        <f>K19-M19</f>
        <v>3754</v>
      </c>
      <c r="O19" s="47"/>
      <c r="P19" s="116">
        <v>4251267</v>
      </c>
      <c r="Q19" s="47"/>
      <c r="R19" s="115">
        <v>974630</v>
      </c>
      <c r="S19" s="54">
        <v>986301</v>
      </c>
      <c r="T19" s="54">
        <v>1033536</v>
      </c>
      <c r="U19" s="54">
        <v>1016301</v>
      </c>
      <c r="V19" s="54">
        <v>817564</v>
      </c>
      <c r="W19" s="54">
        <v>454515</v>
      </c>
      <c r="X19" s="58"/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47"/>
      <c r="AE19" s="53"/>
      <c r="AF19" s="53"/>
      <c r="AG19" s="47"/>
      <c r="AH19" s="53">
        <f>SUM(P19:AG19)</f>
        <v>9534114</v>
      </c>
      <c r="AI19" s="51"/>
      <c r="AJ19" s="55">
        <f t="shared" si="2"/>
        <v>-8884114</v>
      </c>
    </row>
    <row r="20" spans="1:36" s="36" customFormat="1" ht="15.75" x14ac:dyDescent="0.25">
      <c r="A20" s="34" t="s">
        <v>55</v>
      </c>
      <c r="B20" s="35" t="s">
        <v>376</v>
      </c>
      <c r="C20" s="52" t="s">
        <v>373</v>
      </c>
      <c r="D20" s="52" t="s">
        <v>401</v>
      </c>
      <c r="E20" s="52" t="s">
        <v>370</v>
      </c>
      <c r="F20" s="87">
        <v>44102</v>
      </c>
      <c r="G20" s="87">
        <v>44307</v>
      </c>
      <c r="H20" s="88">
        <f>((G20-F20)/7)/4.3</f>
        <v>6.8106312292358808</v>
      </c>
      <c r="I20" s="58" t="e">
        <f>#REF!</f>
        <v>#REF!</v>
      </c>
      <c r="J20" s="53">
        <v>1021270</v>
      </c>
      <c r="K20" s="53" t="e">
        <f>I20-J20</f>
        <v>#REF!</v>
      </c>
      <c r="L20" s="53">
        <v>945919</v>
      </c>
      <c r="M20" s="53" t="e">
        <f>I20-L20</f>
        <v>#REF!</v>
      </c>
      <c r="N20" s="53" t="e">
        <f>K20-M20</f>
        <v>#REF!</v>
      </c>
      <c r="O20" s="47"/>
      <c r="P20" s="116">
        <v>501155</v>
      </c>
      <c r="Q20" s="47"/>
      <c r="R20" s="115">
        <v>186495</v>
      </c>
      <c r="S20" s="54">
        <v>180232</v>
      </c>
      <c r="T20" s="54">
        <v>180232</v>
      </c>
      <c r="U20" s="54">
        <v>160707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47"/>
      <c r="AE20" s="53"/>
      <c r="AF20" s="53"/>
      <c r="AG20" s="47"/>
      <c r="AH20" s="53">
        <f>SUM(P20:AG20)</f>
        <v>1208821</v>
      </c>
      <c r="AI20" s="51"/>
      <c r="AJ20" s="55" t="e">
        <f t="shared" si="2"/>
        <v>#REF!</v>
      </c>
    </row>
    <row r="21" spans="1:36" s="36" customFormat="1" ht="15.75" x14ac:dyDescent="0.25">
      <c r="A21" s="34" t="s">
        <v>60</v>
      </c>
      <c r="B21" s="35" t="s">
        <v>377</v>
      </c>
      <c r="C21" s="52" t="s">
        <v>373</v>
      </c>
      <c r="D21" s="52" t="s">
        <v>378</v>
      </c>
      <c r="E21" s="52" t="s">
        <v>370</v>
      </c>
      <c r="F21" s="87">
        <v>44223</v>
      </c>
      <c r="G21" s="87">
        <v>44545</v>
      </c>
      <c r="H21" s="88">
        <f>((G21-F21)/7)/4.3</f>
        <v>10.697674418604652</v>
      </c>
      <c r="I21" s="58" t="e">
        <f>#REF!</f>
        <v>#REF!</v>
      </c>
      <c r="J21" s="53">
        <v>12555112</v>
      </c>
      <c r="K21" s="53" t="e">
        <f>I21-J21</f>
        <v>#REF!</v>
      </c>
      <c r="L21" s="53">
        <v>12611053</v>
      </c>
      <c r="M21" s="53" t="e">
        <f>I21-L21</f>
        <v>#REF!</v>
      </c>
      <c r="N21" s="53" t="e">
        <f>K21-M21</f>
        <v>#REF!</v>
      </c>
      <c r="O21" s="47"/>
      <c r="P21" s="116">
        <v>802663</v>
      </c>
      <c r="Q21" s="47"/>
      <c r="R21" s="115">
        <v>1051823</v>
      </c>
      <c r="S21" s="54">
        <v>1200000</v>
      </c>
      <c r="T21" s="54">
        <v>1300000</v>
      </c>
      <c r="U21" s="54">
        <v>1274530</v>
      </c>
      <c r="V21" s="54">
        <v>1379154</v>
      </c>
      <c r="W21" s="54">
        <v>1414621</v>
      </c>
      <c r="X21" s="54">
        <v>1379154</v>
      </c>
      <c r="Y21" s="54">
        <v>1274530</v>
      </c>
      <c r="Z21" s="54">
        <v>843964</v>
      </c>
      <c r="AA21" s="54">
        <v>843964</v>
      </c>
      <c r="AB21" s="54">
        <v>520154</v>
      </c>
      <c r="AC21" s="54">
        <v>123354</v>
      </c>
      <c r="AD21" s="47"/>
      <c r="AE21" s="53"/>
      <c r="AF21" s="53"/>
      <c r="AG21" s="47"/>
      <c r="AH21" s="53">
        <f>SUM(P21:AG21)</f>
        <v>13407911</v>
      </c>
      <c r="AI21" s="51"/>
      <c r="AJ21" s="55" t="e">
        <f t="shared" si="2"/>
        <v>#REF!</v>
      </c>
    </row>
    <row r="22" spans="1:36" s="36" customFormat="1" ht="15.75" x14ac:dyDescent="0.25">
      <c r="A22" s="93"/>
      <c r="B22" s="94"/>
      <c r="C22" s="91"/>
      <c r="D22" s="91"/>
      <c r="E22" s="91"/>
      <c r="F22" s="91"/>
      <c r="G22" s="91"/>
      <c r="H22" s="92"/>
      <c r="I22" s="59" t="e">
        <f>SUM(I19:I21)</f>
        <v>#REF!</v>
      </c>
      <c r="J22" s="59"/>
      <c r="K22" s="59"/>
      <c r="L22" s="59"/>
      <c r="M22" s="59"/>
      <c r="N22" s="59"/>
      <c r="O22" s="47"/>
      <c r="P22" s="59">
        <f>SUM(P19:P21)</f>
        <v>5555085</v>
      </c>
      <c r="Q22" s="47"/>
      <c r="R22" s="59">
        <f>SUM(R19:R21)</f>
        <v>2212948</v>
      </c>
      <c r="S22" s="59">
        <f t="shared" ref="S22:AC22" si="7">SUM(S19:S21)</f>
        <v>2366533</v>
      </c>
      <c r="T22" s="59">
        <f t="shared" si="7"/>
        <v>2513768</v>
      </c>
      <c r="U22" s="59">
        <f t="shared" si="7"/>
        <v>2451538</v>
      </c>
      <c r="V22" s="59">
        <f t="shared" si="7"/>
        <v>2196718</v>
      </c>
      <c r="W22" s="59">
        <f t="shared" si="7"/>
        <v>1869136</v>
      </c>
      <c r="X22" s="59">
        <f t="shared" si="7"/>
        <v>1379154</v>
      </c>
      <c r="Y22" s="59">
        <f t="shared" si="7"/>
        <v>1274530</v>
      </c>
      <c r="Z22" s="59">
        <f t="shared" si="7"/>
        <v>843964</v>
      </c>
      <c r="AA22" s="59">
        <f t="shared" si="7"/>
        <v>843964</v>
      </c>
      <c r="AB22" s="59">
        <f t="shared" si="7"/>
        <v>520154</v>
      </c>
      <c r="AC22" s="59">
        <f t="shared" si="7"/>
        <v>123354</v>
      </c>
      <c r="AD22" s="47"/>
      <c r="AE22" s="59">
        <f>SUM(AE18:AE21)</f>
        <v>0</v>
      </c>
      <c r="AF22" s="59">
        <f>SUM(AF18:AF21)</f>
        <v>0</v>
      </c>
      <c r="AG22" s="47"/>
      <c r="AH22" s="53">
        <f t="shared" ref="AH22:AH27" si="8">SUM(P22:AG22)</f>
        <v>24150846</v>
      </c>
      <c r="AI22" s="51"/>
      <c r="AJ22" s="55" t="e">
        <f t="shared" si="2"/>
        <v>#REF!</v>
      </c>
    </row>
    <row r="23" spans="1:36" s="36" customFormat="1" ht="15.75" x14ac:dyDescent="0.25">
      <c r="A23" s="106" t="s">
        <v>379</v>
      </c>
      <c r="B23" s="107"/>
      <c r="C23" s="101" t="s">
        <v>380</v>
      </c>
      <c r="D23" s="102"/>
      <c r="E23" s="102"/>
      <c r="F23" s="102"/>
      <c r="G23" s="102"/>
      <c r="H23" s="84"/>
      <c r="I23" s="103"/>
      <c r="J23" s="103"/>
      <c r="K23" s="103"/>
      <c r="L23" s="103"/>
      <c r="M23" s="103"/>
      <c r="N23" s="103"/>
      <c r="O23" s="47"/>
      <c r="P23" s="103"/>
      <c r="Q23" s="47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47"/>
      <c r="AE23" s="103"/>
      <c r="AF23" s="103"/>
      <c r="AG23" s="47"/>
      <c r="AH23" s="85"/>
      <c r="AI23" s="51"/>
      <c r="AJ23" s="55">
        <f t="shared" si="2"/>
        <v>0</v>
      </c>
    </row>
    <row r="24" spans="1:36" s="36" customFormat="1" ht="15.75" x14ac:dyDescent="0.25">
      <c r="A24" s="60" t="s">
        <v>269</v>
      </c>
      <c r="B24" s="61" t="s">
        <v>270</v>
      </c>
      <c r="C24" s="52" t="s">
        <v>380</v>
      </c>
      <c r="D24" s="52" t="s">
        <v>381</v>
      </c>
      <c r="E24" s="52" t="s">
        <v>370</v>
      </c>
      <c r="F24" s="52" t="e">
        <f>#REF!</f>
        <v>#REF!</v>
      </c>
      <c r="G24" s="52" t="e">
        <f>#REF!</f>
        <v>#REF!</v>
      </c>
      <c r="H24" s="50" t="e">
        <f t="shared" ref="H24:H36" si="9">((G24-F24)/7)/4.3</f>
        <v>#REF!</v>
      </c>
      <c r="I24" s="53" t="e">
        <f>#REF!</f>
        <v>#REF!</v>
      </c>
      <c r="J24" s="53"/>
      <c r="K24" s="53"/>
      <c r="L24" s="53"/>
      <c r="M24" s="53"/>
      <c r="N24" s="53"/>
      <c r="O24" s="47"/>
      <c r="P24" s="116">
        <v>890454</v>
      </c>
      <c r="Q24" s="47"/>
      <c r="R24" s="115"/>
      <c r="S24" s="5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47"/>
      <c r="AE24" s="53"/>
      <c r="AF24" s="53"/>
      <c r="AG24" s="47"/>
      <c r="AH24" s="53">
        <f t="shared" si="8"/>
        <v>890454</v>
      </c>
      <c r="AI24" s="51"/>
      <c r="AJ24" s="55" t="e">
        <f t="shared" si="2"/>
        <v>#REF!</v>
      </c>
    </row>
    <row r="25" spans="1:36" s="36" customFormat="1" ht="15.75" x14ac:dyDescent="0.25">
      <c r="A25" s="60" t="s">
        <v>65</v>
      </c>
      <c r="B25" s="61" t="s">
        <v>66</v>
      </c>
      <c r="C25" s="52" t="s">
        <v>380</v>
      </c>
      <c r="D25" s="52" t="s">
        <v>381</v>
      </c>
      <c r="E25" s="52" t="s">
        <v>370</v>
      </c>
      <c r="F25" s="52">
        <f>'Sheet 2'!T9</f>
        <v>44119</v>
      </c>
      <c r="G25" s="87">
        <f>'Sheet 2'!U9</f>
        <v>44531</v>
      </c>
      <c r="H25" s="50">
        <f t="shared" si="9"/>
        <v>13.687707641196013</v>
      </c>
      <c r="I25" s="53">
        <f>'Sheet 2'!S9</f>
        <v>13407911</v>
      </c>
      <c r="J25" s="53"/>
      <c r="K25" s="53"/>
      <c r="L25" s="53"/>
      <c r="M25" s="53"/>
      <c r="N25" s="53"/>
      <c r="O25" s="47"/>
      <c r="P25" s="116">
        <v>1788494</v>
      </c>
      <c r="Q25" s="47"/>
      <c r="R25" s="115">
        <v>93223</v>
      </c>
      <c r="S25" s="54">
        <v>100000</v>
      </c>
      <c r="T25" s="54">
        <v>98948</v>
      </c>
      <c r="U25" s="53"/>
      <c r="V25" s="53"/>
      <c r="W25" s="53"/>
      <c r="X25" s="53"/>
      <c r="Y25" s="53"/>
      <c r="Z25" s="53"/>
      <c r="AA25" s="53"/>
      <c r="AB25" s="53"/>
      <c r="AC25" s="53"/>
      <c r="AD25" s="47"/>
      <c r="AE25" s="53"/>
      <c r="AF25" s="53"/>
      <c r="AG25" s="47"/>
      <c r="AH25" s="53">
        <f t="shared" si="8"/>
        <v>2080665</v>
      </c>
      <c r="AI25" s="51"/>
      <c r="AJ25" s="55">
        <f t="shared" si="2"/>
        <v>11327246</v>
      </c>
    </row>
    <row r="26" spans="1:36" s="36" customFormat="1" ht="15.75" x14ac:dyDescent="0.25">
      <c r="A26" s="34" t="s">
        <v>71</v>
      </c>
      <c r="B26" s="35" t="s">
        <v>72</v>
      </c>
      <c r="C26" s="52" t="s">
        <v>380</v>
      </c>
      <c r="D26" s="52" t="s">
        <v>381</v>
      </c>
      <c r="E26" s="52" t="s">
        <v>320</v>
      </c>
      <c r="F26" s="52" t="e">
        <f>#REF!</f>
        <v>#REF!</v>
      </c>
      <c r="G26" s="52" t="e">
        <f>#REF!</f>
        <v>#REF!</v>
      </c>
      <c r="H26" s="50" t="e">
        <f t="shared" si="9"/>
        <v>#REF!</v>
      </c>
      <c r="I26" s="53" t="e">
        <f>#REF!</f>
        <v>#REF!</v>
      </c>
      <c r="J26" s="53"/>
      <c r="K26" s="53"/>
      <c r="L26" s="53"/>
      <c r="M26" s="53"/>
      <c r="N26" s="53"/>
      <c r="O26" s="47"/>
      <c r="P26" s="116"/>
      <c r="Q26" s="47"/>
      <c r="R26" s="115"/>
      <c r="S26" s="53"/>
      <c r="T26" s="54">
        <v>50000</v>
      </c>
      <c r="U26" s="54">
        <v>50000</v>
      </c>
      <c r="V26" s="54">
        <v>50000</v>
      </c>
      <c r="W26" s="54">
        <v>27819</v>
      </c>
      <c r="X26" s="53"/>
      <c r="Y26" s="53"/>
      <c r="Z26" s="53"/>
      <c r="AA26" s="53"/>
      <c r="AB26" s="53"/>
      <c r="AC26" s="53"/>
      <c r="AD26" s="47"/>
      <c r="AE26" s="53"/>
      <c r="AF26" s="53"/>
      <c r="AG26" s="47"/>
      <c r="AH26" s="53">
        <f t="shared" si="8"/>
        <v>177819</v>
      </c>
      <c r="AI26" s="51"/>
      <c r="AJ26" s="55" t="e">
        <f t="shared" si="2"/>
        <v>#REF!</v>
      </c>
    </row>
    <row r="27" spans="1:36" s="36" customFormat="1" ht="15.75" x14ac:dyDescent="0.25">
      <c r="A27" s="34" t="s">
        <v>74</v>
      </c>
      <c r="B27" s="35" t="s">
        <v>76</v>
      </c>
      <c r="C27" s="52" t="s">
        <v>380</v>
      </c>
      <c r="D27" s="52" t="s">
        <v>381</v>
      </c>
      <c r="E27" s="52" t="s">
        <v>320</v>
      </c>
      <c r="F27" s="87" t="e">
        <f>#REF!</f>
        <v>#REF!</v>
      </c>
      <c r="G27" s="87" t="e">
        <f>#REF!</f>
        <v>#REF!</v>
      </c>
      <c r="H27" s="50" t="e">
        <f t="shared" si="9"/>
        <v>#REF!</v>
      </c>
      <c r="I27" s="53" t="e">
        <f>#REF!</f>
        <v>#REF!</v>
      </c>
      <c r="J27" s="53"/>
      <c r="K27" s="53"/>
      <c r="L27" s="53"/>
      <c r="M27" s="53"/>
      <c r="N27" s="53"/>
      <c r="O27" s="47"/>
      <c r="P27" s="116"/>
      <c r="Q27" s="47"/>
      <c r="R27" s="115"/>
      <c r="S27" s="58"/>
      <c r="T27" s="58"/>
      <c r="U27" s="58"/>
      <c r="V27" s="54">
        <v>150000</v>
      </c>
      <c r="W27" s="54">
        <v>150000</v>
      </c>
      <c r="X27" s="54">
        <v>150000</v>
      </c>
      <c r="Y27" s="54">
        <v>125000</v>
      </c>
      <c r="Z27" s="54">
        <v>60000</v>
      </c>
      <c r="AA27" s="53"/>
      <c r="AB27" s="53"/>
      <c r="AC27" s="53"/>
      <c r="AD27" s="47"/>
      <c r="AE27" s="53"/>
      <c r="AF27" s="53"/>
      <c r="AG27" s="47"/>
      <c r="AH27" s="53">
        <f t="shared" si="8"/>
        <v>635000</v>
      </c>
      <c r="AI27" s="51"/>
      <c r="AJ27" s="55" t="e">
        <f t="shared" si="2"/>
        <v>#REF!</v>
      </c>
    </row>
    <row r="28" spans="1:36" s="36" customFormat="1" ht="15.75" x14ac:dyDescent="0.25">
      <c r="A28" s="34" t="s">
        <v>78</v>
      </c>
      <c r="B28" s="35" t="s">
        <v>382</v>
      </c>
      <c r="C28" s="52" t="s">
        <v>380</v>
      </c>
      <c r="D28" s="52" t="s">
        <v>381</v>
      </c>
      <c r="E28" s="52" t="s">
        <v>320</v>
      </c>
      <c r="F28" s="87">
        <f>'Sheet 2'!T16</f>
        <v>44136</v>
      </c>
      <c r="G28" s="87">
        <f>'Sheet 2'!U16</f>
        <v>44286</v>
      </c>
      <c r="H28" s="50">
        <f t="shared" si="9"/>
        <v>4.9833887043189371</v>
      </c>
      <c r="I28" s="53">
        <f>'Sheet 2'!S16</f>
        <v>165000</v>
      </c>
      <c r="J28" s="53"/>
      <c r="K28" s="53"/>
      <c r="L28" s="53"/>
      <c r="M28" s="53"/>
      <c r="N28" s="53"/>
      <c r="O28" s="47"/>
      <c r="P28" s="116">
        <v>32120</v>
      </c>
      <c r="Q28" s="47"/>
      <c r="R28" s="115"/>
      <c r="S28" s="53"/>
      <c r="T28" s="34"/>
      <c r="U28" s="34"/>
      <c r="V28" s="34"/>
      <c r="W28" s="54">
        <v>50000</v>
      </c>
      <c r="X28" s="54">
        <v>75000</v>
      </c>
      <c r="Y28" s="54">
        <v>125000</v>
      </c>
      <c r="Z28" s="54">
        <v>125000</v>
      </c>
      <c r="AA28" s="54">
        <v>125000</v>
      </c>
      <c r="AB28" s="54">
        <v>67880</v>
      </c>
      <c r="AC28" s="53"/>
      <c r="AD28" s="47"/>
      <c r="AE28" s="53"/>
      <c r="AF28" s="53"/>
      <c r="AG28" s="47"/>
      <c r="AH28" s="53">
        <f t="shared" ref="AH28:AH35" si="10">SUM(P28:AG28)</f>
        <v>600000</v>
      </c>
      <c r="AI28" s="51"/>
      <c r="AJ28" s="55">
        <f t="shared" si="2"/>
        <v>-435000</v>
      </c>
    </row>
    <row r="29" spans="1:36" s="36" customFormat="1" ht="15.75" x14ac:dyDescent="0.25">
      <c r="A29" s="34" t="s">
        <v>383</v>
      </c>
      <c r="B29" s="35" t="s">
        <v>384</v>
      </c>
      <c r="C29" s="52" t="s">
        <v>380</v>
      </c>
      <c r="D29" s="52" t="s">
        <v>381</v>
      </c>
      <c r="E29" s="52" t="s">
        <v>320</v>
      </c>
      <c r="F29" s="87">
        <f>'Sheet 2'!T19</f>
        <v>44228</v>
      </c>
      <c r="G29" s="87">
        <f>'Sheet 2'!U19</f>
        <v>44501</v>
      </c>
      <c r="H29" s="50">
        <f t="shared" si="9"/>
        <v>9.0697674418604652</v>
      </c>
      <c r="I29" s="53">
        <f>'Sheet 2'!S19</f>
        <v>1125000</v>
      </c>
      <c r="J29" s="53"/>
      <c r="K29" s="53"/>
      <c r="L29" s="53"/>
      <c r="M29" s="53"/>
      <c r="N29" s="53"/>
      <c r="O29" s="47"/>
      <c r="P29" s="116">
        <v>65749</v>
      </c>
      <c r="Q29" s="47"/>
      <c r="R29" s="115"/>
      <c r="S29" s="34"/>
      <c r="T29" s="54">
        <v>50000</v>
      </c>
      <c r="U29" s="54">
        <v>85000</v>
      </c>
      <c r="V29" s="54">
        <v>85000</v>
      </c>
      <c r="W29" s="54">
        <v>85000</v>
      </c>
      <c r="X29" s="54">
        <v>85000</v>
      </c>
      <c r="Y29" s="54">
        <v>85000</v>
      </c>
      <c r="Z29" s="54">
        <v>85000</v>
      </c>
      <c r="AA29" s="54">
        <v>50000</v>
      </c>
      <c r="AB29" s="54">
        <v>24251</v>
      </c>
      <c r="AC29" s="53"/>
      <c r="AD29" s="47"/>
      <c r="AE29" s="53"/>
      <c r="AF29" s="53"/>
      <c r="AG29" s="47"/>
      <c r="AH29" s="53">
        <f t="shared" si="10"/>
        <v>700000</v>
      </c>
      <c r="AI29" s="51"/>
      <c r="AJ29" s="55">
        <f t="shared" si="2"/>
        <v>425000</v>
      </c>
    </row>
    <row r="30" spans="1:36" s="36" customFormat="1" ht="15.75" x14ac:dyDescent="0.25">
      <c r="A30" s="34" t="s">
        <v>92</v>
      </c>
      <c r="B30" s="35" t="s">
        <v>93</v>
      </c>
      <c r="C30" s="52" t="s">
        <v>380</v>
      </c>
      <c r="D30" s="52" t="s">
        <v>381</v>
      </c>
      <c r="E30" s="52" t="s">
        <v>320</v>
      </c>
      <c r="F30" s="87">
        <f>'Sheet 2'!T20</f>
        <v>44224</v>
      </c>
      <c r="G30" s="87">
        <f>'Sheet 2'!U20</f>
        <v>44490</v>
      </c>
      <c r="H30" s="50">
        <f t="shared" si="9"/>
        <v>8.8372093023255811</v>
      </c>
      <c r="I30" s="53">
        <f>'Sheet 2'!S20</f>
        <v>1650000</v>
      </c>
      <c r="J30" s="53"/>
      <c r="K30" s="53"/>
      <c r="L30" s="53"/>
      <c r="M30" s="53"/>
      <c r="N30" s="53"/>
      <c r="O30" s="47"/>
      <c r="P30" s="115">
        <v>91138</v>
      </c>
      <c r="Q30" s="47"/>
      <c r="R30" s="115"/>
      <c r="S30" s="34"/>
      <c r="T30" s="54">
        <v>100000</v>
      </c>
      <c r="U30" s="54">
        <v>150000</v>
      </c>
      <c r="V30" s="54">
        <v>150000</v>
      </c>
      <c r="W30" s="54">
        <v>150000</v>
      </c>
      <c r="X30" s="54">
        <v>150000</v>
      </c>
      <c r="Y30" s="54">
        <v>150000</v>
      </c>
      <c r="Z30" s="54">
        <v>150000</v>
      </c>
      <c r="AA30" s="54">
        <v>150000</v>
      </c>
      <c r="AB30" s="54">
        <v>133862</v>
      </c>
      <c r="AC30" s="58"/>
      <c r="AD30" s="47"/>
      <c r="AE30" s="58"/>
      <c r="AF30" s="53"/>
      <c r="AG30" s="47"/>
      <c r="AH30" s="53">
        <f t="shared" si="10"/>
        <v>1375000</v>
      </c>
      <c r="AI30" s="51"/>
      <c r="AJ30" s="55">
        <f t="shared" si="2"/>
        <v>275000</v>
      </c>
    </row>
    <row r="31" spans="1:36" s="36" customFormat="1" ht="15.75" x14ac:dyDescent="0.25">
      <c r="A31" s="34" t="s">
        <v>96</v>
      </c>
      <c r="B31" s="35" t="s">
        <v>97</v>
      </c>
      <c r="C31" s="52" t="s">
        <v>380</v>
      </c>
      <c r="D31" s="52" t="s">
        <v>381</v>
      </c>
      <c r="E31" s="52" t="s">
        <v>320</v>
      </c>
      <c r="F31" s="87" t="str">
        <f>'Sheet 2'!T28</f>
        <v>HOLD</v>
      </c>
      <c r="G31" s="87" t="str">
        <f>'Sheet 2'!U28</f>
        <v>HOLD</v>
      </c>
      <c r="H31" s="50" t="e">
        <f t="shared" si="9"/>
        <v>#VALUE!</v>
      </c>
      <c r="I31" s="53">
        <f>'Sheet 2'!S28</f>
        <v>2500000</v>
      </c>
      <c r="J31" s="53"/>
      <c r="K31" s="53"/>
      <c r="L31" s="53"/>
      <c r="M31" s="53"/>
      <c r="N31" s="53"/>
      <c r="O31" s="47"/>
      <c r="P31" s="115">
        <v>124344</v>
      </c>
      <c r="Q31" s="47"/>
      <c r="R31" s="115"/>
      <c r="S31" s="34"/>
      <c r="T31" s="54">
        <v>25000</v>
      </c>
      <c r="U31" s="54">
        <v>65000</v>
      </c>
      <c r="V31" s="54">
        <v>65000</v>
      </c>
      <c r="W31" s="54">
        <v>65000</v>
      </c>
      <c r="X31" s="54">
        <v>65000</v>
      </c>
      <c r="Y31" s="54">
        <v>65000</v>
      </c>
      <c r="Z31" s="54">
        <v>65000</v>
      </c>
      <c r="AA31" s="54">
        <v>60000</v>
      </c>
      <c r="AB31" s="54">
        <v>50656</v>
      </c>
      <c r="AC31" s="53"/>
      <c r="AD31" s="47"/>
      <c r="AE31" s="53"/>
      <c r="AF31" s="53"/>
      <c r="AG31" s="47"/>
      <c r="AH31" s="53">
        <f t="shared" si="10"/>
        <v>650000</v>
      </c>
      <c r="AI31" s="51"/>
      <c r="AJ31" s="55">
        <f t="shared" si="2"/>
        <v>1850000</v>
      </c>
    </row>
    <row r="32" spans="1:36" s="36" customFormat="1" ht="15.75" x14ac:dyDescent="0.25">
      <c r="A32" s="60" t="s">
        <v>99</v>
      </c>
      <c r="B32" s="61" t="s">
        <v>100</v>
      </c>
      <c r="C32" s="52" t="s">
        <v>380</v>
      </c>
      <c r="D32" s="52" t="s">
        <v>381</v>
      </c>
      <c r="E32" s="52" t="s">
        <v>320</v>
      </c>
      <c r="F32" s="87" t="e">
        <f>#REF!</f>
        <v>#REF!</v>
      </c>
      <c r="G32" s="87" t="e">
        <f>#REF!</f>
        <v>#REF!</v>
      </c>
      <c r="H32" s="50" t="e">
        <f t="shared" si="9"/>
        <v>#REF!</v>
      </c>
      <c r="I32" s="53" t="e">
        <f>#REF!</f>
        <v>#REF!</v>
      </c>
      <c r="J32" s="53"/>
      <c r="K32" s="53"/>
      <c r="L32" s="53"/>
      <c r="M32" s="53"/>
      <c r="N32" s="53"/>
      <c r="O32" s="47"/>
      <c r="P32" s="115">
        <v>14681</v>
      </c>
      <c r="Q32" s="47"/>
      <c r="R32" s="115"/>
      <c r="S32" s="34"/>
      <c r="T32" s="54">
        <v>25000</v>
      </c>
      <c r="U32" s="54">
        <v>50000</v>
      </c>
      <c r="V32" s="54">
        <v>50000</v>
      </c>
      <c r="W32" s="54">
        <v>50000</v>
      </c>
      <c r="X32" s="54">
        <v>50000</v>
      </c>
      <c r="Y32" s="54">
        <v>50000</v>
      </c>
      <c r="Z32" s="54">
        <v>50000</v>
      </c>
      <c r="AA32" s="54">
        <v>50000</v>
      </c>
      <c r="AB32" s="54">
        <v>10319</v>
      </c>
      <c r="AC32" s="53"/>
      <c r="AD32" s="47"/>
      <c r="AE32" s="53"/>
      <c r="AF32" s="53"/>
      <c r="AG32" s="47"/>
      <c r="AH32" s="53">
        <f t="shared" si="10"/>
        <v>400000</v>
      </c>
      <c r="AI32" s="51"/>
      <c r="AJ32" s="55" t="e">
        <f t="shared" si="2"/>
        <v>#REF!</v>
      </c>
    </row>
    <row r="33" spans="1:36" s="36" customFormat="1" ht="15.75" x14ac:dyDescent="0.25">
      <c r="A33" s="34" t="s">
        <v>82</v>
      </c>
      <c r="B33" s="35" t="s">
        <v>83</v>
      </c>
      <c r="C33" s="52" t="s">
        <v>380</v>
      </c>
      <c r="D33" s="52" t="s">
        <v>381</v>
      </c>
      <c r="E33" s="52" t="s">
        <v>320</v>
      </c>
      <c r="F33" s="52" t="e">
        <f>#REF!</f>
        <v>#REF!</v>
      </c>
      <c r="G33" s="52" t="e">
        <f>#REF!</f>
        <v>#REF!</v>
      </c>
      <c r="H33" s="50" t="e">
        <f t="shared" si="9"/>
        <v>#REF!</v>
      </c>
      <c r="I33" s="53" t="e">
        <f>#REF!</f>
        <v>#REF!</v>
      </c>
      <c r="J33" s="53"/>
      <c r="K33" s="53"/>
      <c r="L33" s="53"/>
      <c r="M33" s="53"/>
      <c r="N33" s="53"/>
      <c r="O33" s="47"/>
      <c r="P33" s="115"/>
      <c r="Q33" s="47"/>
      <c r="R33" s="115"/>
      <c r="S33" s="53">
        <v>0</v>
      </c>
      <c r="T33" s="34"/>
      <c r="U33" s="34"/>
      <c r="V33" s="34"/>
      <c r="W33" s="54">
        <v>50000</v>
      </c>
      <c r="X33" s="54">
        <v>100000</v>
      </c>
      <c r="Y33" s="54">
        <v>100000</v>
      </c>
      <c r="Z33" s="54">
        <v>100000</v>
      </c>
      <c r="AA33" s="54">
        <v>100000</v>
      </c>
      <c r="AB33" s="54">
        <v>50000</v>
      </c>
      <c r="AC33" s="53"/>
      <c r="AD33" s="47"/>
      <c r="AE33" s="53"/>
      <c r="AF33" s="53"/>
      <c r="AG33" s="47"/>
      <c r="AH33" s="53">
        <f t="shared" si="10"/>
        <v>500000</v>
      </c>
      <c r="AI33" s="51"/>
      <c r="AJ33" s="55" t="e">
        <f t="shared" si="2"/>
        <v>#REF!</v>
      </c>
    </row>
    <row r="34" spans="1:36" s="36" customFormat="1" ht="15.75" x14ac:dyDescent="0.25">
      <c r="A34" s="34" t="s">
        <v>84</v>
      </c>
      <c r="B34" s="35" t="s">
        <v>85</v>
      </c>
      <c r="C34" s="52" t="s">
        <v>380</v>
      </c>
      <c r="D34" s="52" t="s">
        <v>381</v>
      </c>
      <c r="E34" s="52" t="s">
        <v>320</v>
      </c>
      <c r="F34" s="52">
        <f>'Sheet 2'!T18</f>
        <v>44136</v>
      </c>
      <c r="G34" s="52">
        <f>'Sheet 2'!U18</f>
        <v>44484</v>
      </c>
      <c r="H34" s="50">
        <f t="shared" si="9"/>
        <v>11.561461794019934</v>
      </c>
      <c r="I34" s="53">
        <f>'Sheet 2'!S18</f>
        <v>1750000</v>
      </c>
      <c r="J34" s="53"/>
      <c r="K34" s="53"/>
      <c r="L34" s="53"/>
      <c r="M34" s="53"/>
      <c r="N34" s="53"/>
      <c r="O34" s="47"/>
      <c r="P34" s="115"/>
      <c r="Q34" s="47"/>
      <c r="R34" s="115"/>
      <c r="S34" s="53">
        <v>0</v>
      </c>
      <c r="T34" s="34"/>
      <c r="U34" s="34"/>
      <c r="V34" s="34"/>
      <c r="W34" s="54">
        <v>75000</v>
      </c>
      <c r="X34" s="54">
        <v>100000</v>
      </c>
      <c r="Y34" s="54">
        <v>125000</v>
      </c>
      <c r="Z34" s="54">
        <v>125000</v>
      </c>
      <c r="AA34" s="54">
        <v>100000</v>
      </c>
      <c r="AB34" s="54">
        <v>50000</v>
      </c>
      <c r="AC34" s="53"/>
      <c r="AD34" s="47"/>
      <c r="AE34" s="53"/>
      <c r="AF34" s="53"/>
      <c r="AG34" s="47"/>
      <c r="AH34" s="53">
        <f t="shared" si="10"/>
        <v>575000</v>
      </c>
      <c r="AI34" s="51"/>
      <c r="AJ34" s="55">
        <f t="shared" si="2"/>
        <v>1175000</v>
      </c>
    </row>
    <row r="35" spans="1:36" s="36" customFormat="1" ht="15.75" x14ac:dyDescent="0.25">
      <c r="A35" s="34" t="s">
        <v>102</v>
      </c>
      <c r="B35" s="35" t="s">
        <v>385</v>
      </c>
      <c r="C35" s="52" t="s">
        <v>380</v>
      </c>
      <c r="D35" s="52" t="s">
        <v>381</v>
      </c>
      <c r="E35" s="52" t="s">
        <v>320</v>
      </c>
      <c r="F35" s="52">
        <f>'Sheet 2'!T10</f>
        <v>44317</v>
      </c>
      <c r="G35" s="52">
        <f>'Sheet 2'!U10</f>
        <v>44446</v>
      </c>
      <c r="H35" s="52" t="s">
        <v>24</v>
      </c>
      <c r="I35" s="86">
        <v>0</v>
      </c>
      <c r="J35" s="53"/>
      <c r="K35" s="53"/>
      <c r="L35" s="53"/>
      <c r="M35" s="53"/>
      <c r="N35" s="53"/>
      <c r="O35" s="47"/>
      <c r="P35" s="115"/>
      <c r="Q35" s="47"/>
      <c r="R35" s="115"/>
      <c r="S35" s="58"/>
      <c r="T35" s="58"/>
      <c r="U35" s="58"/>
      <c r="V35" s="58"/>
      <c r="W35" s="53"/>
      <c r="X35" s="53"/>
      <c r="Y35" s="53"/>
      <c r="Z35" s="53"/>
      <c r="AA35" s="53"/>
      <c r="AB35" s="53"/>
      <c r="AC35" s="53"/>
      <c r="AD35" s="47"/>
      <c r="AE35" s="53"/>
      <c r="AF35" s="53"/>
      <c r="AG35" s="47"/>
      <c r="AH35" s="53">
        <f t="shared" si="10"/>
        <v>0</v>
      </c>
      <c r="AI35" s="51"/>
      <c r="AJ35" s="55">
        <f t="shared" si="2"/>
        <v>0</v>
      </c>
    </row>
    <row r="36" spans="1:36" s="36" customFormat="1" ht="15.75" x14ac:dyDescent="0.25">
      <c r="A36" s="34" t="s">
        <v>107</v>
      </c>
      <c r="B36" s="35" t="s">
        <v>108</v>
      </c>
      <c r="C36" s="52" t="s">
        <v>380</v>
      </c>
      <c r="D36" s="52" t="s">
        <v>381</v>
      </c>
      <c r="E36" s="52" t="s">
        <v>320</v>
      </c>
      <c r="F36" s="52" t="e">
        <f>#REF!</f>
        <v>#REF!</v>
      </c>
      <c r="G36" s="52" t="e">
        <f>#REF!</f>
        <v>#REF!</v>
      </c>
      <c r="H36" s="50" t="e">
        <f t="shared" si="9"/>
        <v>#REF!</v>
      </c>
      <c r="I36" s="53" t="e">
        <f>#REF!</f>
        <v>#REF!</v>
      </c>
      <c r="J36" s="53"/>
      <c r="K36" s="53"/>
      <c r="L36" s="53"/>
      <c r="M36" s="53"/>
      <c r="N36" s="53"/>
      <c r="O36" s="47"/>
      <c r="P36" s="115"/>
      <c r="Q36" s="47"/>
      <c r="R36" s="115"/>
      <c r="U36" s="54">
        <v>25000</v>
      </c>
      <c r="V36" s="54">
        <v>25000</v>
      </c>
      <c r="W36" s="54">
        <v>50000</v>
      </c>
      <c r="X36" s="54">
        <v>50000</v>
      </c>
      <c r="Y36" s="54">
        <v>25000</v>
      </c>
      <c r="Z36" s="53"/>
      <c r="AA36" s="53"/>
      <c r="AB36" s="53"/>
      <c r="AC36" s="53"/>
      <c r="AD36" s="47"/>
      <c r="AE36" s="53"/>
      <c r="AF36" s="53"/>
      <c r="AG36" s="47"/>
      <c r="AH36" s="53">
        <f t="shared" ref="AH36:AH76" si="11">SUM(P36:AG36)</f>
        <v>175000</v>
      </c>
      <c r="AI36" s="51"/>
      <c r="AJ36" s="55" t="e">
        <f t="shared" si="2"/>
        <v>#REF!</v>
      </c>
    </row>
    <row r="37" spans="1:36" s="36" customFormat="1" ht="15.75" x14ac:dyDescent="0.25">
      <c r="A37" s="93"/>
      <c r="B37" s="94"/>
      <c r="C37" s="91"/>
      <c r="D37" s="91"/>
      <c r="E37" s="91"/>
      <c r="F37" s="91"/>
      <c r="G37" s="91"/>
      <c r="H37" s="92"/>
      <c r="I37" s="59" t="e">
        <f>SUM(I24:N36)</f>
        <v>#REF!</v>
      </c>
      <c r="J37" s="59"/>
      <c r="K37" s="59"/>
      <c r="L37" s="59"/>
      <c r="M37" s="59"/>
      <c r="N37" s="59"/>
      <c r="O37" s="47"/>
      <c r="P37" s="59">
        <f>SUM(P24:P36)</f>
        <v>3006980</v>
      </c>
      <c r="Q37" s="47"/>
      <c r="R37" s="59">
        <f t="shared" ref="R37:AC37" si="12">SUM(R24:R36)</f>
        <v>93223</v>
      </c>
      <c r="S37" s="59">
        <f t="shared" si="12"/>
        <v>100000</v>
      </c>
      <c r="T37" s="59">
        <f t="shared" si="12"/>
        <v>348948</v>
      </c>
      <c r="U37" s="59">
        <f t="shared" si="12"/>
        <v>425000</v>
      </c>
      <c r="V37" s="59">
        <f t="shared" si="12"/>
        <v>575000</v>
      </c>
      <c r="W37" s="59">
        <f t="shared" si="12"/>
        <v>752819</v>
      </c>
      <c r="X37" s="59">
        <f t="shared" si="12"/>
        <v>825000</v>
      </c>
      <c r="Y37" s="59">
        <f t="shared" si="12"/>
        <v>850000</v>
      </c>
      <c r="Z37" s="59">
        <f t="shared" si="12"/>
        <v>760000</v>
      </c>
      <c r="AA37" s="59">
        <f t="shared" si="12"/>
        <v>635000</v>
      </c>
      <c r="AB37" s="59">
        <f t="shared" si="12"/>
        <v>386968</v>
      </c>
      <c r="AC37" s="59">
        <f t="shared" si="12"/>
        <v>0</v>
      </c>
      <c r="AD37" s="47"/>
      <c r="AE37" s="59">
        <f>SUM(AE24:AE36)</f>
        <v>0</v>
      </c>
      <c r="AF37" s="59">
        <f>SUM(AF24:AF36)</f>
        <v>0</v>
      </c>
      <c r="AG37" s="47"/>
      <c r="AH37" s="53">
        <f t="shared" si="11"/>
        <v>8758938</v>
      </c>
      <c r="AI37" s="51"/>
      <c r="AJ37" s="55" t="e">
        <f t="shared" si="2"/>
        <v>#REF!</v>
      </c>
    </row>
    <row r="38" spans="1:36" s="36" customFormat="1" ht="15.75" x14ac:dyDescent="0.25">
      <c r="A38" s="106" t="s">
        <v>234</v>
      </c>
      <c r="B38" s="107"/>
      <c r="C38" s="101" t="s">
        <v>386</v>
      </c>
      <c r="D38" s="102"/>
      <c r="E38" s="102"/>
      <c r="F38" s="102"/>
      <c r="G38" s="102"/>
      <c r="H38" s="84"/>
      <c r="I38" s="103"/>
      <c r="J38" s="103"/>
      <c r="K38" s="103"/>
      <c r="L38" s="103"/>
      <c r="M38" s="103"/>
      <c r="N38" s="103"/>
      <c r="O38" s="47"/>
      <c r="P38" s="103"/>
      <c r="Q38" s="47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47"/>
      <c r="AE38" s="103"/>
      <c r="AF38" s="103"/>
      <c r="AG38" s="47"/>
      <c r="AH38" s="85"/>
      <c r="AI38" s="51"/>
      <c r="AJ38" s="55">
        <f>I38-AH38</f>
        <v>0</v>
      </c>
    </row>
    <row r="39" spans="1:36" s="36" customFormat="1" ht="15.75" x14ac:dyDescent="0.25">
      <c r="A39" s="60" t="e">
        <f>#REF!</f>
        <v>#REF!</v>
      </c>
      <c r="B39" s="60" t="e">
        <f>#REF!</f>
        <v>#REF!</v>
      </c>
      <c r="C39" s="52" t="s">
        <v>386</v>
      </c>
      <c r="D39" s="52" t="s">
        <v>368</v>
      </c>
      <c r="E39" s="52" t="s">
        <v>370</v>
      </c>
      <c r="F39" s="52" t="e">
        <f>#REF!</f>
        <v>#REF!</v>
      </c>
      <c r="G39" s="52" t="e">
        <f>#REF!</f>
        <v>#REF!</v>
      </c>
      <c r="H39" s="50" t="e">
        <f>((G39-F39)/7)/4.3</f>
        <v>#REF!</v>
      </c>
      <c r="I39" s="53" t="e">
        <f>#REF!</f>
        <v>#REF!</v>
      </c>
      <c r="J39" s="53"/>
      <c r="K39" s="53"/>
      <c r="L39" s="53"/>
      <c r="M39" s="53"/>
      <c r="N39" s="53"/>
      <c r="O39" s="47"/>
      <c r="P39" s="115">
        <v>1206321</v>
      </c>
      <c r="Q39" s="47"/>
      <c r="R39" s="115">
        <v>11381</v>
      </c>
      <c r="S39" s="54">
        <v>1560</v>
      </c>
      <c r="T39" s="58"/>
      <c r="U39" s="58"/>
      <c r="V39" s="58"/>
      <c r="W39" s="58"/>
      <c r="X39" s="53"/>
      <c r="Y39" s="53"/>
      <c r="Z39" s="53"/>
      <c r="AA39" s="53"/>
      <c r="AB39" s="53"/>
      <c r="AC39" s="53"/>
      <c r="AD39" s="47"/>
      <c r="AE39" s="53"/>
      <c r="AF39" s="53"/>
      <c r="AG39" s="47"/>
      <c r="AH39" s="53">
        <f>SUM(P39:AG39)</f>
        <v>1219262</v>
      </c>
      <c r="AI39" s="51"/>
      <c r="AJ39" s="55" t="e">
        <f>I39-AH39</f>
        <v>#REF!</v>
      </c>
    </row>
    <row r="40" spans="1:36" s="36" customFormat="1" ht="15.75" x14ac:dyDescent="0.25">
      <c r="A40" s="60" t="e">
        <f>#REF!</f>
        <v>#REF!</v>
      </c>
      <c r="B40" s="60" t="e">
        <f>#REF!</f>
        <v>#REF!</v>
      </c>
      <c r="C40" s="52" t="s">
        <v>386</v>
      </c>
      <c r="D40" s="52" t="s">
        <v>368</v>
      </c>
      <c r="E40" s="52" t="s">
        <v>370</v>
      </c>
      <c r="F40" s="52" t="e">
        <f>#REF!</f>
        <v>#REF!</v>
      </c>
      <c r="G40" s="52" t="e">
        <f>#REF!</f>
        <v>#REF!</v>
      </c>
      <c r="H40" s="50" t="e">
        <f>((G40-F40)/7)/4.3</f>
        <v>#REF!</v>
      </c>
      <c r="I40" s="53" t="e">
        <f>#REF!</f>
        <v>#REF!</v>
      </c>
      <c r="J40" s="53"/>
      <c r="K40" s="53"/>
      <c r="L40" s="53"/>
      <c r="M40" s="53"/>
      <c r="N40" s="53"/>
      <c r="O40" s="47"/>
      <c r="P40" s="115">
        <v>570676</v>
      </c>
      <c r="Q40" s="47"/>
      <c r="R40" s="115">
        <v>2335</v>
      </c>
      <c r="S40" s="117">
        <v>4665</v>
      </c>
      <c r="T40" s="58"/>
      <c r="U40" s="58"/>
      <c r="V40" s="58"/>
      <c r="W40" s="58"/>
      <c r="X40" s="53"/>
      <c r="Y40" s="53"/>
      <c r="Z40" s="53"/>
      <c r="AA40" s="53"/>
      <c r="AB40" s="53"/>
      <c r="AC40" s="53"/>
      <c r="AD40" s="47"/>
      <c r="AE40" s="53"/>
      <c r="AF40" s="53"/>
      <c r="AG40" s="47"/>
      <c r="AH40" s="53">
        <f>SUM(P40:AG40)</f>
        <v>577676</v>
      </c>
      <c r="AI40" s="51"/>
      <c r="AJ40" s="55" t="e">
        <f>I40-AH40</f>
        <v>#REF!</v>
      </c>
    </row>
    <row r="41" spans="1:36" s="36" customFormat="1" ht="15.75" x14ac:dyDescent="0.25">
      <c r="A41" s="94"/>
      <c r="B41" s="96"/>
      <c r="C41" s="91"/>
      <c r="D41" s="91"/>
      <c r="E41" s="91"/>
      <c r="F41" s="91"/>
      <c r="G41" s="91"/>
      <c r="H41" s="92"/>
      <c r="I41" s="59" t="e">
        <f>SUM(I39:I40)</f>
        <v>#REF!</v>
      </c>
      <c r="J41" s="59"/>
      <c r="K41" s="59"/>
      <c r="L41" s="59"/>
      <c r="M41" s="59"/>
      <c r="N41" s="59"/>
      <c r="O41" s="47"/>
      <c r="P41" s="59">
        <f>SUM(P39:P40)</f>
        <v>1776997</v>
      </c>
      <c r="Q41" s="47"/>
      <c r="R41" s="59">
        <f>SUM(R39:R40)</f>
        <v>13716</v>
      </c>
      <c r="S41" s="59">
        <f t="shared" ref="S41:AC41" si="13">SUM(S39:S40)</f>
        <v>6225</v>
      </c>
      <c r="T41" s="59">
        <f t="shared" si="13"/>
        <v>0</v>
      </c>
      <c r="U41" s="59">
        <f t="shared" si="13"/>
        <v>0</v>
      </c>
      <c r="V41" s="59">
        <f t="shared" si="13"/>
        <v>0</v>
      </c>
      <c r="W41" s="59">
        <f t="shared" si="13"/>
        <v>0</v>
      </c>
      <c r="X41" s="59">
        <f t="shared" si="13"/>
        <v>0</v>
      </c>
      <c r="Y41" s="59">
        <f t="shared" si="13"/>
        <v>0</v>
      </c>
      <c r="Z41" s="59">
        <f t="shared" si="13"/>
        <v>0</v>
      </c>
      <c r="AA41" s="59">
        <f t="shared" si="13"/>
        <v>0</v>
      </c>
      <c r="AB41" s="59">
        <f t="shared" si="13"/>
        <v>0</v>
      </c>
      <c r="AC41" s="59">
        <f t="shared" si="13"/>
        <v>0</v>
      </c>
      <c r="AD41" s="47"/>
      <c r="AE41" s="59">
        <f>SUM(AE39:AE40)</f>
        <v>0</v>
      </c>
      <c r="AF41" s="59">
        <f>SUM(AF39:AF40)</f>
        <v>0</v>
      </c>
      <c r="AG41" s="47"/>
      <c r="AH41" s="53">
        <f>SUM(P41:AG41)</f>
        <v>1796938</v>
      </c>
      <c r="AI41" s="51"/>
      <c r="AJ41" s="55" t="e">
        <f>I41-AH41</f>
        <v>#REF!</v>
      </c>
    </row>
    <row r="42" spans="1:36" s="36" customFormat="1" ht="15.75" x14ac:dyDescent="0.25">
      <c r="A42" s="106" t="s">
        <v>115</v>
      </c>
      <c r="B42" s="107"/>
      <c r="C42" s="101" t="s">
        <v>386</v>
      </c>
      <c r="D42" s="102"/>
      <c r="E42" s="102"/>
      <c r="F42" s="102"/>
      <c r="G42" s="102"/>
      <c r="H42" s="84"/>
      <c r="I42" s="103"/>
      <c r="J42" s="103"/>
      <c r="K42" s="103"/>
      <c r="L42" s="103"/>
      <c r="M42" s="103"/>
      <c r="N42" s="103"/>
      <c r="O42" s="47"/>
      <c r="P42" s="103"/>
      <c r="Q42" s="47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47"/>
      <c r="AE42" s="103"/>
      <c r="AF42" s="103"/>
      <c r="AG42" s="47"/>
      <c r="AH42" s="85"/>
      <c r="AI42" s="51"/>
      <c r="AJ42" s="55">
        <f t="shared" si="2"/>
        <v>0</v>
      </c>
    </row>
    <row r="43" spans="1:36" s="36" customFormat="1" ht="15.75" x14ac:dyDescent="0.25">
      <c r="A43" s="60" t="str">
        <f>'Sheet 2'!A5</f>
        <v>OK2019</v>
      </c>
      <c r="B43" s="61" t="str">
        <f>'Sheet 2'!C5</f>
        <v>Santa Fe Development</v>
      </c>
      <c r="C43" s="52" t="s">
        <v>386</v>
      </c>
      <c r="D43" s="52" t="s">
        <v>386</v>
      </c>
      <c r="E43" s="52" t="s">
        <v>370</v>
      </c>
      <c r="F43" s="52">
        <f>'Sheet 2'!T5</f>
        <v>44319</v>
      </c>
      <c r="G43" s="52">
        <f>'Sheet 2'!U5</f>
        <v>44571</v>
      </c>
      <c r="H43" s="50">
        <f>((G43-F43)/7)/4.3</f>
        <v>8.3720930232558146</v>
      </c>
      <c r="I43" s="53">
        <f>'Sheet 2'!S5</f>
        <v>1000000</v>
      </c>
      <c r="J43" s="53"/>
      <c r="K43" s="53"/>
      <c r="L43" s="53"/>
      <c r="M43" s="53"/>
      <c r="N43" s="53"/>
      <c r="O43" s="47"/>
      <c r="P43" s="115"/>
      <c r="Q43" s="47"/>
      <c r="R43" s="115"/>
      <c r="S43" s="58"/>
      <c r="T43" s="54">
        <f>30000/4</f>
        <v>7500</v>
      </c>
      <c r="U43" s="54">
        <f>30000/4</f>
        <v>7500</v>
      </c>
      <c r="V43" s="54">
        <f>30000/4</f>
        <v>7500</v>
      </c>
      <c r="W43" s="54">
        <f>30000/4</f>
        <v>7500</v>
      </c>
      <c r="X43" s="53"/>
      <c r="Y43" s="53"/>
      <c r="Z43" s="53"/>
      <c r="AA43" s="53"/>
      <c r="AB43" s="53"/>
      <c r="AC43" s="53"/>
      <c r="AD43" s="47"/>
      <c r="AE43" s="53"/>
      <c r="AF43" s="53"/>
      <c r="AG43" s="47"/>
      <c r="AH43" s="53">
        <f>SUM(P43:AG43)</f>
        <v>30000</v>
      </c>
      <c r="AI43" s="51"/>
      <c r="AJ43" s="55">
        <f t="shared" si="2"/>
        <v>970000</v>
      </c>
    </row>
    <row r="44" spans="1:36" s="36" customFormat="1" ht="15.75" x14ac:dyDescent="0.25">
      <c r="A44" s="94"/>
      <c r="B44" s="96"/>
      <c r="C44" s="91"/>
      <c r="D44" s="91"/>
      <c r="E44" s="91"/>
      <c r="F44" s="91"/>
      <c r="G44" s="91"/>
      <c r="H44" s="92"/>
      <c r="I44" s="59">
        <f>SUM(I43)</f>
        <v>1000000</v>
      </c>
      <c r="J44" s="59"/>
      <c r="K44" s="59"/>
      <c r="L44" s="59"/>
      <c r="M44" s="59"/>
      <c r="N44" s="59"/>
      <c r="O44" s="47"/>
      <c r="P44" s="59">
        <f>SUM(P43)</f>
        <v>0</v>
      </c>
      <c r="Q44" s="47"/>
      <c r="R44" s="59">
        <f>SUM(R43)</f>
        <v>0</v>
      </c>
      <c r="S44" s="59">
        <f t="shared" ref="S44:AC44" si="14">SUM(S43)</f>
        <v>0</v>
      </c>
      <c r="T44" s="59">
        <f t="shared" si="14"/>
        <v>7500</v>
      </c>
      <c r="U44" s="59">
        <f t="shared" si="14"/>
        <v>7500</v>
      </c>
      <c r="V44" s="59">
        <f t="shared" si="14"/>
        <v>7500</v>
      </c>
      <c r="W44" s="59">
        <f t="shared" si="14"/>
        <v>7500</v>
      </c>
      <c r="X44" s="59">
        <f t="shared" si="14"/>
        <v>0</v>
      </c>
      <c r="Y44" s="59">
        <f t="shared" si="14"/>
        <v>0</v>
      </c>
      <c r="Z44" s="59">
        <f t="shared" si="14"/>
        <v>0</v>
      </c>
      <c r="AA44" s="59">
        <f t="shared" si="14"/>
        <v>0</v>
      </c>
      <c r="AB44" s="59">
        <f t="shared" si="14"/>
        <v>0</v>
      </c>
      <c r="AC44" s="59">
        <f t="shared" si="14"/>
        <v>0</v>
      </c>
      <c r="AD44" s="47"/>
      <c r="AE44" s="59">
        <f>SUM(AE43)</f>
        <v>0</v>
      </c>
      <c r="AF44" s="59">
        <f>SUM(AF27:AF43)</f>
        <v>0</v>
      </c>
      <c r="AG44" s="47"/>
      <c r="AH44" s="53">
        <f>SUM(P44:AG44)</f>
        <v>30000</v>
      </c>
      <c r="AI44" s="51"/>
      <c r="AJ44" s="55">
        <f t="shared" si="2"/>
        <v>970000</v>
      </c>
    </row>
    <row r="45" spans="1:36" s="36" customFormat="1" ht="15.75" x14ac:dyDescent="0.25">
      <c r="A45" s="106" t="s">
        <v>119</v>
      </c>
      <c r="B45" s="107"/>
      <c r="C45" s="101" t="s">
        <v>387</v>
      </c>
      <c r="D45" s="102"/>
      <c r="E45" s="102"/>
      <c r="F45" s="102"/>
      <c r="G45" s="102"/>
      <c r="H45" s="84"/>
      <c r="I45" s="103"/>
      <c r="J45" s="103"/>
      <c r="K45" s="103"/>
      <c r="L45" s="103"/>
      <c r="M45" s="103"/>
      <c r="N45" s="103"/>
      <c r="O45" s="47"/>
      <c r="P45" s="103"/>
      <c r="Q45" s="47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47"/>
      <c r="AE45" s="103"/>
      <c r="AF45" s="103"/>
      <c r="AG45" s="47"/>
      <c r="AH45" s="85"/>
      <c r="AI45" s="51"/>
      <c r="AJ45" s="55">
        <f t="shared" si="2"/>
        <v>0</v>
      </c>
    </row>
    <row r="46" spans="1:36" s="36" customFormat="1" ht="15.75" x14ac:dyDescent="0.25">
      <c r="A46" s="56" t="e">
        <f>#REF!</f>
        <v>#REF!</v>
      </c>
      <c r="B46" s="57" t="e">
        <f>#REF!</f>
        <v>#REF!</v>
      </c>
      <c r="C46" s="52" t="s">
        <v>387</v>
      </c>
      <c r="D46" s="52" t="s">
        <v>402</v>
      </c>
      <c r="E46" s="52" t="s">
        <v>370</v>
      </c>
      <c r="F46" s="52" t="e">
        <f>#REF!</f>
        <v>#REF!</v>
      </c>
      <c r="G46" s="52" t="e">
        <f>#REF!</f>
        <v>#REF!</v>
      </c>
      <c r="H46" s="50" t="e">
        <f t="shared" ref="H46:H60" si="15">((G46-F46)/7)/4.3</f>
        <v>#REF!</v>
      </c>
      <c r="I46" s="53" t="e">
        <f>#REF!</f>
        <v>#REF!</v>
      </c>
      <c r="J46" s="53"/>
      <c r="K46" s="53"/>
      <c r="L46" s="53"/>
      <c r="M46" s="53"/>
      <c r="N46" s="53"/>
      <c r="O46" s="47"/>
      <c r="P46" s="115">
        <v>568347</v>
      </c>
      <c r="Q46" s="47"/>
      <c r="R46" s="115">
        <v>879</v>
      </c>
      <c r="S46" s="54">
        <v>90908</v>
      </c>
      <c r="T46" s="89"/>
      <c r="U46" s="89"/>
      <c r="V46" s="89"/>
      <c r="W46" s="89"/>
      <c r="X46" s="89"/>
      <c r="Y46" s="89"/>
      <c r="Z46" s="89"/>
      <c r="AA46" s="58"/>
      <c r="AB46" s="58"/>
      <c r="AC46" s="58"/>
      <c r="AD46" s="47"/>
      <c r="AE46" s="53"/>
      <c r="AF46" s="53"/>
      <c r="AG46" s="47"/>
      <c r="AH46" s="53">
        <f>SUM(P46:AG46)</f>
        <v>660134</v>
      </c>
      <c r="AI46" s="51"/>
      <c r="AJ46" s="55" t="e">
        <f>I46-AH46</f>
        <v>#REF!</v>
      </c>
    </row>
    <row r="47" spans="1:36" s="36" customFormat="1" ht="15.75" x14ac:dyDescent="0.25">
      <c r="A47" s="64" t="str">
        <f>'Sheet 2'!A11</f>
        <v xml:space="preserve">OK2008 </v>
      </c>
      <c r="B47" s="65" t="str">
        <f>'Sheet 2'!C11</f>
        <v>Dr. Mark Gaches, DDS - Owasso</v>
      </c>
      <c r="C47" s="52" t="s">
        <v>387</v>
      </c>
      <c r="D47" s="52" t="s">
        <v>402</v>
      </c>
      <c r="E47" s="52" t="s">
        <v>370</v>
      </c>
      <c r="F47" s="52">
        <f>'Sheet 2'!T11</f>
        <v>44290</v>
      </c>
      <c r="G47" s="52">
        <f>'Sheet 2'!U11</f>
        <v>44466</v>
      </c>
      <c r="H47" s="50">
        <f t="shared" si="15"/>
        <v>5.8471760797342194</v>
      </c>
      <c r="I47" s="53">
        <f>'Sheet 2'!S11</f>
        <v>700000</v>
      </c>
      <c r="J47" s="53">
        <v>819670</v>
      </c>
      <c r="K47" s="53"/>
      <c r="L47" s="53"/>
      <c r="M47" s="53"/>
      <c r="N47" s="53"/>
      <c r="O47" s="47"/>
      <c r="P47" s="115">
        <v>720455</v>
      </c>
      <c r="Q47" s="47"/>
      <c r="R47" s="115">
        <v>114649</v>
      </c>
      <c r="S47" s="54">
        <v>89591</v>
      </c>
      <c r="T47" s="54">
        <v>25305</v>
      </c>
      <c r="U47" s="53"/>
      <c r="V47" s="53"/>
      <c r="W47" s="53"/>
      <c r="X47" s="53"/>
      <c r="Y47" s="53"/>
      <c r="Z47" s="53"/>
      <c r="AA47" s="53"/>
      <c r="AB47" s="53"/>
      <c r="AC47" s="53"/>
      <c r="AD47" s="47"/>
      <c r="AE47" s="53"/>
      <c r="AF47" s="53"/>
      <c r="AG47" s="47"/>
      <c r="AH47" s="53">
        <f t="shared" si="11"/>
        <v>950000</v>
      </c>
      <c r="AI47" s="51"/>
      <c r="AJ47" s="55">
        <f t="shared" si="2"/>
        <v>-250000</v>
      </c>
    </row>
    <row r="48" spans="1:36" s="36" customFormat="1" ht="15.75" x14ac:dyDescent="0.25">
      <c r="A48" s="64" t="str">
        <f>'Sheet 2'!A6</f>
        <v>OK2025</v>
      </c>
      <c r="B48" s="65" t="str">
        <f>'Sheet 2'!C6</f>
        <v>Autism in Motion - Sante Fe Dev.</v>
      </c>
      <c r="C48" s="52" t="s">
        <v>387</v>
      </c>
      <c r="D48" s="52" t="s">
        <v>402</v>
      </c>
      <c r="E48" s="52" t="s">
        <v>370</v>
      </c>
      <c r="F48" s="52">
        <f>'Sheet 2'!T6</f>
        <v>44319</v>
      </c>
      <c r="G48" s="52">
        <f>'Sheet 2'!U6</f>
        <v>44559.8</v>
      </c>
      <c r="H48" s="50">
        <f t="shared" si="15"/>
        <v>8.0000000000000977</v>
      </c>
      <c r="I48" s="53">
        <f>'Sheet 2'!S6</f>
        <v>975000</v>
      </c>
      <c r="J48" s="53">
        <v>142789</v>
      </c>
      <c r="K48" s="53"/>
      <c r="L48" s="53"/>
      <c r="M48" s="53"/>
      <c r="N48" s="53"/>
      <c r="O48" s="47"/>
      <c r="P48" s="115">
        <v>64622</v>
      </c>
      <c r="Q48" s="47"/>
      <c r="R48" s="115">
        <v>39561</v>
      </c>
      <c r="S48" s="54">
        <v>50000</v>
      </c>
      <c r="T48" s="54">
        <v>10817</v>
      </c>
      <c r="U48" s="53"/>
      <c r="V48" s="53"/>
      <c r="W48" s="53"/>
      <c r="X48" s="53"/>
      <c r="Y48" s="53"/>
      <c r="Z48" s="53"/>
      <c r="AA48" s="53"/>
      <c r="AB48" s="53"/>
      <c r="AC48" s="53"/>
      <c r="AD48" s="47"/>
      <c r="AE48" s="53"/>
      <c r="AF48" s="53"/>
      <c r="AG48" s="47"/>
      <c r="AH48" s="53">
        <f t="shared" si="11"/>
        <v>165000</v>
      </c>
      <c r="AI48" s="51"/>
      <c r="AJ48" s="55">
        <f t="shared" si="2"/>
        <v>810000</v>
      </c>
    </row>
    <row r="49" spans="1:36" s="36" customFormat="1" ht="15.75" x14ac:dyDescent="0.25">
      <c r="A49" s="64" t="str">
        <f>'Sheet 2'!A29</f>
        <v>OK2026</v>
      </c>
      <c r="B49" s="65" t="str">
        <f>'Sheet 2'!C29</f>
        <v>Covell I35 Edmond Dev.</v>
      </c>
      <c r="C49" s="52" t="s">
        <v>387</v>
      </c>
      <c r="D49" s="52" t="s">
        <v>402</v>
      </c>
      <c r="E49" s="52" t="s">
        <v>370</v>
      </c>
      <c r="F49" s="52" t="e">
        <f>'Sheet 2'!T29</f>
        <v>#VALUE!</v>
      </c>
      <c r="G49" s="52" t="e">
        <f>'Sheet 2'!U29</f>
        <v>#VALUE!</v>
      </c>
      <c r="H49" s="50" t="e">
        <f t="shared" si="15"/>
        <v>#VALUE!</v>
      </c>
      <c r="I49" s="53">
        <f>'Sheet 2'!S29</f>
        <v>400000</v>
      </c>
      <c r="J49" s="53">
        <v>272772</v>
      </c>
      <c r="K49" s="53"/>
      <c r="L49" s="53"/>
      <c r="M49" s="53"/>
      <c r="N49" s="53"/>
      <c r="O49" s="47"/>
      <c r="P49" s="115">
        <v>124791</v>
      </c>
      <c r="Q49" s="47"/>
      <c r="R49" s="115">
        <v>64927</v>
      </c>
      <c r="S49" s="54">
        <v>73882</v>
      </c>
      <c r="T49" s="54">
        <v>51400</v>
      </c>
      <c r="U49" s="53"/>
      <c r="V49" s="53"/>
      <c r="W49" s="53"/>
      <c r="X49" s="53"/>
      <c r="Y49" s="53"/>
      <c r="Z49" s="53"/>
      <c r="AA49" s="53"/>
      <c r="AB49" s="53"/>
      <c r="AC49" s="53"/>
      <c r="AD49" s="47"/>
      <c r="AE49" s="53"/>
      <c r="AF49" s="53"/>
      <c r="AG49" s="47"/>
      <c r="AH49" s="53">
        <f t="shared" si="11"/>
        <v>315000</v>
      </c>
      <c r="AI49" s="51"/>
      <c r="AJ49" s="55">
        <f t="shared" si="2"/>
        <v>85000</v>
      </c>
    </row>
    <row r="50" spans="1:36" s="36" customFormat="1" ht="15.75" x14ac:dyDescent="0.25">
      <c r="A50" s="64" t="str">
        <f>'Sheet 2'!A49</f>
        <v>OK2105-2</v>
      </c>
      <c r="B50" s="65" t="str">
        <f>'Sheet 2'!C49</f>
        <v>Valencia Flex - Christ Fit Gym</v>
      </c>
      <c r="C50" s="52" t="s">
        <v>387</v>
      </c>
      <c r="D50" s="52" t="s">
        <v>403</v>
      </c>
      <c r="E50" s="52" t="s">
        <v>370</v>
      </c>
      <c r="F50" s="52">
        <f>'Sheet 2'!T49</f>
        <v>44340</v>
      </c>
      <c r="G50" s="52">
        <f>'Sheet 2'!U49</f>
        <v>44369</v>
      </c>
      <c r="H50" s="50">
        <f t="shared" si="15"/>
        <v>0.96345514950166122</v>
      </c>
      <c r="I50" s="53">
        <f>'Sheet 2'!S49</f>
        <v>100000</v>
      </c>
      <c r="J50" s="53"/>
      <c r="K50" s="53"/>
      <c r="L50" s="53"/>
      <c r="M50" s="53"/>
      <c r="N50" s="53"/>
      <c r="O50" s="47"/>
      <c r="P50" s="115">
        <v>407476</v>
      </c>
      <c r="Q50" s="47"/>
      <c r="R50" s="115">
        <v>214084</v>
      </c>
      <c r="S50" s="54">
        <v>125000</v>
      </c>
      <c r="T50" s="54">
        <v>175000</v>
      </c>
      <c r="U50" s="54">
        <v>175000</v>
      </c>
      <c r="V50" s="54">
        <v>175000</v>
      </c>
      <c r="W50" s="54">
        <v>175000</v>
      </c>
      <c r="X50" s="54">
        <v>160000</v>
      </c>
      <c r="Y50" s="54">
        <v>143440</v>
      </c>
      <c r="Z50" s="53"/>
      <c r="AA50" s="53"/>
      <c r="AB50" s="53"/>
      <c r="AC50" s="53"/>
      <c r="AD50" s="47"/>
      <c r="AE50" s="53"/>
      <c r="AF50" s="53"/>
      <c r="AG50" s="47"/>
      <c r="AH50" s="53">
        <f t="shared" si="11"/>
        <v>1750000</v>
      </c>
      <c r="AI50" s="51"/>
      <c r="AJ50" s="55">
        <f t="shared" si="2"/>
        <v>-1650000</v>
      </c>
    </row>
    <row r="51" spans="1:36" s="36" customFormat="1" ht="15.75" x14ac:dyDescent="0.25">
      <c r="A51" s="64" t="str">
        <f>'Sheet 2'!A33</f>
        <v>OK2106-1</v>
      </c>
      <c r="B51" s="65" t="str">
        <f>'Sheet 2'!C33</f>
        <v>Fox Lake Shell</v>
      </c>
      <c r="C51" s="52" t="s">
        <v>387</v>
      </c>
      <c r="D51" s="87" t="s">
        <v>45</v>
      </c>
      <c r="E51" s="52" t="s">
        <v>370</v>
      </c>
      <c r="F51" s="52">
        <f>'Sheet 2'!T33</f>
        <v>0</v>
      </c>
      <c r="G51" s="52">
        <f>'Sheet 2'!U33</f>
        <v>0</v>
      </c>
      <c r="H51" s="50">
        <f t="shared" si="15"/>
        <v>0</v>
      </c>
      <c r="I51" s="53">
        <f>'Sheet 2'!S33</f>
        <v>10000000</v>
      </c>
      <c r="J51" s="53"/>
      <c r="K51" s="53"/>
      <c r="L51" s="53"/>
      <c r="M51" s="53"/>
      <c r="N51" s="53"/>
      <c r="O51" s="47"/>
      <c r="P51" s="115">
        <v>131243</v>
      </c>
      <c r="Q51" s="47"/>
      <c r="R51" s="115"/>
      <c r="S51" s="58"/>
      <c r="T51" s="54">
        <v>150000</v>
      </c>
      <c r="U51" s="54">
        <v>200000</v>
      </c>
      <c r="V51" s="54">
        <v>200000</v>
      </c>
      <c r="W51" s="54">
        <v>250000</v>
      </c>
      <c r="X51" s="54">
        <v>193757</v>
      </c>
      <c r="Y51" s="58"/>
      <c r="Z51" s="58"/>
      <c r="AA51" s="53"/>
      <c r="AB51" s="53"/>
      <c r="AC51" s="53"/>
      <c r="AD51" s="47"/>
      <c r="AE51" s="53"/>
      <c r="AF51" s="53"/>
      <c r="AG51" s="47"/>
      <c r="AH51" s="53">
        <f t="shared" si="11"/>
        <v>1125000</v>
      </c>
      <c r="AI51" s="51"/>
      <c r="AJ51" s="55">
        <f t="shared" si="2"/>
        <v>8875000</v>
      </c>
    </row>
    <row r="52" spans="1:36" s="36" customFormat="1" ht="15.75" x14ac:dyDescent="0.25">
      <c r="A52" s="64" t="str">
        <f>'Sheet 2'!A34</f>
        <v>OK2107</v>
      </c>
      <c r="B52" s="65" t="str">
        <f>'Sheet 2'!C34</f>
        <v>Jack Be Grocery</v>
      </c>
      <c r="C52" s="52" t="s">
        <v>387</v>
      </c>
      <c r="D52" s="87" t="s">
        <v>389</v>
      </c>
      <c r="E52" s="52" t="s">
        <v>370</v>
      </c>
      <c r="F52" s="52">
        <f>'Sheet 2'!T34</f>
        <v>0</v>
      </c>
      <c r="G52" s="52">
        <f>'Sheet 2'!U34</f>
        <v>0</v>
      </c>
      <c r="H52" s="50">
        <f t="shared" si="15"/>
        <v>0</v>
      </c>
      <c r="I52" s="53">
        <f>'Sheet 2'!S34</f>
        <v>5000000</v>
      </c>
      <c r="J52" s="53">
        <v>1339023</v>
      </c>
      <c r="K52" s="53"/>
      <c r="L52" s="53"/>
      <c r="M52" s="53"/>
      <c r="N52" s="53"/>
      <c r="O52" s="47"/>
      <c r="P52" s="115">
        <v>103605</v>
      </c>
      <c r="Q52" s="47"/>
      <c r="R52" s="115"/>
      <c r="S52" s="54">
        <v>100000</v>
      </c>
      <c r="T52" s="54">
        <v>150000</v>
      </c>
      <c r="U52" s="54">
        <v>150000</v>
      </c>
      <c r="V52" s="54">
        <v>250000</v>
      </c>
      <c r="W52" s="54">
        <v>250000</v>
      </c>
      <c r="X52" s="54">
        <v>250000</v>
      </c>
      <c r="Y52" s="54">
        <v>250000</v>
      </c>
      <c r="Z52" s="54">
        <v>146395</v>
      </c>
      <c r="AA52" s="58"/>
      <c r="AB52" s="58"/>
      <c r="AC52" s="58"/>
      <c r="AD52" s="47"/>
      <c r="AE52" s="53"/>
      <c r="AF52" s="53"/>
      <c r="AG52" s="47"/>
      <c r="AH52" s="53">
        <f t="shared" si="11"/>
        <v>1650000</v>
      </c>
      <c r="AI52" s="51"/>
      <c r="AJ52" s="55">
        <f t="shared" si="2"/>
        <v>3350000</v>
      </c>
    </row>
    <row r="53" spans="1:36" s="36" customFormat="1" ht="15.75" x14ac:dyDescent="0.25">
      <c r="A53" s="64" t="e">
        <f>#REF!</f>
        <v>#REF!</v>
      </c>
      <c r="B53" s="65" t="e">
        <f>#REF!</f>
        <v>#REF!</v>
      </c>
      <c r="C53" s="52" t="s">
        <v>387</v>
      </c>
      <c r="D53" s="87" t="s">
        <v>45</v>
      </c>
      <c r="E53" s="52" t="s">
        <v>320</v>
      </c>
      <c r="F53" s="52" t="e">
        <f>#REF!</f>
        <v>#REF!</v>
      </c>
      <c r="G53" s="52" t="e">
        <f>#REF!</f>
        <v>#REF!</v>
      </c>
      <c r="H53" s="50" t="e">
        <f t="shared" si="15"/>
        <v>#REF!</v>
      </c>
      <c r="I53" s="53" t="e">
        <f>#REF!</f>
        <v>#REF!</v>
      </c>
      <c r="J53" s="53"/>
      <c r="K53" s="53"/>
      <c r="L53" s="53"/>
      <c r="M53" s="53"/>
      <c r="N53" s="53"/>
      <c r="O53" s="47"/>
      <c r="P53" s="115"/>
      <c r="Q53" s="47"/>
      <c r="R53" s="115"/>
      <c r="S53" s="53"/>
      <c r="T53" s="53"/>
      <c r="U53" s="53"/>
      <c r="V53" s="53"/>
      <c r="W53" s="54">
        <v>100000</v>
      </c>
      <c r="X53" s="54">
        <v>187500</v>
      </c>
      <c r="Y53" s="54">
        <v>187500</v>
      </c>
      <c r="Z53" s="54">
        <v>187500</v>
      </c>
      <c r="AA53" s="54">
        <v>187500</v>
      </c>
      <c r="AB53" s="54">
        <v>187500</v>
      </c>
      <c r="AC53" s="54">
        <v>187500</v>
      </c>
      <c r="AD53" s="47"/>
      <c r="AE53" s="54">
        <v>275000</v>
      </c>
      <c r="AF53" s="53"/>
      <c r="AG53" s="47"/>
      <c r="AH53" s="53">
        <f t="shared" si="11"/>
        <v>1500000</v>
      </c>
      <c r="AI53" s="51"/>
      <c r="AJ53" s="55" t="e">
        <f t="shared" si="2"/>
        <v>#REF!</v>
      </c>
    </row>
    <row r="54" spans="1:36" s="36" customFormat="1" ht="15.75" x14ac:dyDescent="0.25">
      <c r="A54" s="64" t="str">
        <f>'Sheet 2'!A36</f>
        <v>OKxxxx</v>
      </c>
      <c r="B54" s="65" t="str">
        <f>'Sheet 2'!C36</f>
        <v>Dr. Brad Mitchell Development</v>
      </c>
      <c r="C54" s="52" t="s">
        <v>387</v>
      </c>
      <c r="D54" s="87" t="s">
        <v>45</v>
      </c>
      <c r="E54" s="52" t="s">
        <v>320</v>
      </c>
      <c r="F54" s="52">
        <f>'Sheet 2'!T36</f>
        <v>0</v>
      </c>
      <c r="G54" s="52">
        <f>'Sheet 2'!U36</f>
        <v>0</v>
      </c>
      <c r="H54" s="50">
        <f t="shared" si="15"/>
        <v>0</v>
      </c>
      <c r="I54" s="53" t="str">
        <f>'Sheet 2'!S36</f>
        <v>HOLD</v>
      </c>
      <c r="J54" s="53"/>
      <c r="K54" s="53"/>
      <c r="L54" s="53"/>
      <c r="M54" s="53"/>
      <c r="N54" s="53"/>
      <c r="O54" s="47"/>
      <c r="P54" s="115"/>
      <c r="Q54" s="47"/>
      <c r="R54" s="115"/>
      <c r="S54" s="53"/>
      <c r="T54" s="53"/>
      <c r="U54" s="89"/>
      <c r="V54" s="89"/>
      <c r="W54" s="89"/>
      <c r="X54" s="89"/>
      <c r="Y54" s="54">
        <v>100000</v>
      </c>
      <c r="Z54" s="54">
        <v>100000</v>
      </c>
      <c r="AA54" s="54">
        <v>125000</v>
      </c>
      <c r="AB54" s="54">
        <v>125000</v>
      </c>
      <c r="AC54" s="54">
        <v>100000</v>
      </c>
      <c r="AD54" s="47"/>
      <c r="AE54" s="54">
        <v>50000</v>
      </c>
      <c r="AF54" s="53"/>
      <c r="AG54" s="47"/>
      <c r="AH54" s="53">
        <f t="shared" si="11"/>
        <v>600000</v>
      </c>
      <c r="AI54" s="51"/>
      <c r="AJ54" s="55" t="e">
        <f t="shared" si="2"/>
        <v>#VALUE!</v>
      </c>
    </row>
    <row r="55" spans="1:36" s="36" customFormat="1" ht="15.75" x14ac:dyDescent="0.25">
      <c r="A55" s="64" t="e">
        <f>#REF!</f>
        <v>#REF!</v>
      </c>
      <c r="B55" s="65" t="e">
        <f>#REF!</f>
        <v>#REF!</v>
      </c>
      <c r="C55" s="52" t="s">
        <v>387</v>
      </c>
      <c r="D55" s="87" t="s">
        <v>45</v>
      </c>
      <c r="E55" s="52" t="s">
        <v>320</v>
      </c>
      <c r="F55" s="52" t="e">
        <f>#REF!</f>
        <v>#REF!</v>
      </c>
      <c r="G55" s="52" t="e">
        <f>#REF!</f>
        <v>#REF!</v>
      </c>
      <c r="H55" s="50" t="e">
        <f t="shared" si="15"/>
        <v>#REF!</v>
      </c>
      <c r="I55" s="53" t="e">
        <f>#REF!</f>
        <v>#REF!</v>
      </c>
      <c r="J55" s="53"/>
      <c r="K55" s="53"/>
      <c r="L55" s="53"/>
      <c r="M55" s="53"/>
      <c r="N55" s="53"/>
      <c r="O55" s="47"/>
      <c r="P55" s="115"/>
      <c r="Q55" s="47"/>
      <c r="R55" s="115"/>
      <c r="S55" s="53"/>
      <c r="T55" s="53"/>
      <c r="U55" s="89"/>
      <c r="V55" s="89"/>
      <c r="W55" s="89"/>
      <c r="X55" s="89"/>
      <c r="Y55" s="54">
        <v>100000</v>
      </c>
      <c r="Z55" s="54">
        <v>150000</v>
      </c>
      <c r="AA55" s="54">
        <v>200000</v>
      </c>
      <c r="AB55" s="54">
        <v>200000</v>
      </c>
      <c r="AC55" s="54">
        <v>200000</v>
      </c>
      <c r="AD55" s="47"/>
      <c r="AE55" s="54">
        <v>650000</v>
      </c>
      <c r="AF55" s="53"/>
      <c r="AG55" s="47"/>
      <c r="AH55" s="53">
        <f t="shared" si="11"/>
        <v>1500000</v>
      </c>
      <c r="AI55" s="51"/>
      <c r="AJ55" s="55" t="e">
        <f t="shared" si="2"/>
        <v>#REF!</v>
      </c>
    </row>
    <row r="56" spans="1:36" s="36" customFormat="1" ht="15.75" x14ac:dyDescent="0.25">
      <c r="A56" s="64" t="e">
        <f>#REF!</f>
        <v>#REF!</v>
      </c>
      <c r="B56" s="65" t="e">
        <f>#REF!</f>
        <v>#REF!</v>
      </c>
      <c r="C56" s="52" t="s">
        <v>387</v>
      </c>
      <c r="D56" s="87" t="s">
        <v>45</v>
      </c>
      <c r="E56" s="52" t="s">
        <v>320</v>
      </c>
      <c r="F56" s="52" t="e">
        <f>#REF!</f>
        <v>#REF!</v>
      </c>
      <c r="G56" s="52" t="e">
        <f>#REF!</f>
        <v>#REF!</v>
      </c>
      <c r="H56" s="50" t="e">
        <f t="shared" si="15"/>
        <v>#REF!</v>
      </c>
      <c r="I56" s="53" t="e">
        <f>#REF!</f>
        <v>#REF!</v>
      </c>
      <c r="J56" s="53"/>
      <c r="K56" s="53"/>
      <c r="L56" s="53"/>
      <c r="M56" s="53"/>
      <c r="N56" s="53"/>
      <c r="O56" s="47"/>
      <c r="P56" s="115"/>
      <c r="Q56" s="47"/>
      <c r="R56" s="115"/>
      <c r="S56" s="53"/>
      <c r="T56" s="53"/>
      <c r="U56" s="89"/>
      <c r="V56" s="89"/>
      <c r="W56" s="89"/>
      <c r="X56" s="89"/>
      <c r="Y56" s="54">
        <v>50000</v>
      </c>
      <c r="Z56" s="54">
        <v>65000</v>
      </c>
      <c r="AA56" s="54">
        <v>65000</v>
      </c>
      <c r="AB56" s="54">
        <v>65000</v>
      </c>
      <c r="AC56" s="54">
        <v>65000</v>
      </c>
      <c r="AD56" s="47"/>
      <c r="AE56" s="54">
        <v>440000</v>
      </c>
      <c r="AF56" s="53"/>
      <c r="AG56" s="47"/>
      <c r="AH56" s="53">
        <f t="shared" si="11"/>
        <v>750000</v>
      </c>
      <c r="AI56" s="51"/>
      <c r="AJ56" s="55" t="e">
        <f t="shared" si="2"/>
        <v>#REF!</v>
      </c>
    </row>
    <row r="57" spans="1:36" s="36" customFormat="1" ht="15.75" x14ac:dyDescent="0.25">
      <c r="A57" s="64" t="e">
        <f>#REF!</f>
        <v>#REF!</v>
      </c>
      <c r="B57" s="65" t="e">
        <f>#REF!</f>
        <v>#REF!</v>
      </c>
      <c r="C57" s="52" t="s">
        <v>387</v>
      </c>
      <c r="D57" s="87" t="s">
        <v>45</v>
      </c>
      <c r="E57" s="52" t="s">
        <v>320</v>
      </c>
      <c r="F57" s="52" t="e">
        <f>#REF!</f>
        <v>#REF!</v>
      </c>
      <c r="G57" s="52" t="e">
        <f>#REF!</f>
        <v>#REF!</v>
      </c>
      <c r="H57" s="50" t="e">
        <f t="shared" si="15"/>
        <v>#REF!</v>
      </c>
      <c r="I57" s="53" t="e">
        <f>#REF!</f>
        <v>#REF!</v>
      </c>
      <c r="J57" s="53"/>
      <c r="K57" s="53"/>
      <c r="L57" s="53"/>
      <c r="M57" s="53"/>
      <c r="N57" s="53"/>
      <c r="O57" s="47"/>
      <c r="P57" s="115"/>
      <c r="Q57" s="47"/>
      <c r="R57" s="115"/>
      <c r="S57" s="53"/>
      <c r="T57" s="53"/>
      <c r="U57" s="89"/>
      <c r="V57" s="89"/>
      <c r="W57" s="89"/>
      <c r="X57" s="89"/>
      <c r="Y57" s="54">
        <v>50000</v>
      </c>
      <c r="Z57" s="54">
        <v>65000</v>
      </c>
      <c r="AA57" s="54">
        <v>65000</v>
      </c>
      <c r="AB57" s="54">
        <v>65000</v>
      </c>
      <c r="AC57" s="54">
        <v>65000</v>
      </c>
      <c r="AD57" s="47"/>
      <c r="AE57" s="54">
        <v>440000</v>
      </c>
      <c r="AF57" s="53"/>
      <c r="AG57" s="47"/>
      <c r="AH57" s="53">
        <f t="shared" si="11"/>
        <v>750000</v>
      </c>
      <c r="AI57" s="51"/>
      <c r="AJ57" s="55" t="e">
        <f t="shared" si="2"/>
        <v>#REF!</v>
      </c>
    </row>
    <row r="58" spans="1:36" s="36" customFormat="1" ht="15.75" x14ac:dyDescent="0.25">
      <c r="A58" s="64" t="e">
        <f>#REF!</f>
        <v>#REF!</v>
      </c>
      <c r="B58" s="65" t="e">
        <f>#REF!</f>
        <v>#REF!</v>
      </c>
      <c r="C58" s="52" t="s">
        <v>387</v>
      </c>
      <c r="D58" s="87" t="s">
        <v>45</v>
      </c>
      <c r="E58" s="52" t="s">
        <v>320</v>
      </c>
      <c r="F58" s="52" t="e">
        <f>#REF!</f>
        <v>#REF!</v>
      </c>
      <c r="G58" s="52" t="e">
        <f>#REF!</f>
        <v>#REF!</v>
      </c>
      <c r="H58" s="50" t="e">
        <f t="shared" si="15"/>
        <v>#REF!</v>
      </c>
      <c r="I58" s="53" t="e">
        <f>#REF!</f>
        <v>#REF!</v>
      </c>
      <c r="J58" s="53"/>
      <c r="K58" s="53"/>
      <c r="L58" s="53"/>
      <c r="M58" s="53"/>
      <c r="N58" s="53"/>
      <c r="O58" s="47"/>
      <c r="P58" s="115"/>
      <c r="Q58" s="47"/>
      <c r="R58" s="115"/>
      <c r="S58" s="53"/>
      <c r="T58" s="53"/>
      <c r="U58" s="89"/>
      <c r="V58" s="89"/>
      <c r="W58" s="89"/>
      <c r="X58" s="89"/>
      <c r="Y58" s="54">
        <v>187500</v>
      </c>
      <c r="Z58" s="54">
        <v>187500</v>
      </c>
      <c r="AA58" s="54">
        <v>187500</v>
      </c>
      <c r="AB58" s="54">
        <v>187500</v>
      </c>
      <c r="AC58" s="54">
        <v>187500</v>
      </c>
      <c r="AD58" s="47"/>
      <c r="AE58" s="54">
        <v>562500</v>
      </c>
      <c r="AF58" s="53"/>
      <c r="AG58" s="47"/>
      <c r="AH58" s="53">
        <f t="shared" si="11"/>
        <v>1500000</v>
      </c>
      <c r="AI58" s="51"/>
      <c r="AJ58" s="55" t="e">
        <f t="shared" si="2"/>
        <v>#REF!</v>
      </c>
    </row>
    <row r="59" spans="1:36" s="36" customFormat="1" ht="15.75" x14ac:dyDescent="0.25">
      <c r="A59" s="64" t="e">
        <f>'Sheet 2'!#REF!</f>
        <v>#REF!</v>
      </c>
      <c r="B59" s="65" t="e">
        <f>'Sheet 2'!#REF!</f>
        <v>#REF!</v>
      </c>
      <c r="C59" s="52" t="s">
        <v>387</v>
      </c>
      <c r="D59" s="87" t="s">
        <v>45</v>
      </c>
      <c r="E59" s="52" t="s">
        <v>320</v>
      </c>
      <c r="F59" s="52" t="e">
        <f>'Sheet 2'!#REF!</f>
        <v>#REF!</v>
      </c>
      <c r="G59" s="52" t="e">
        <f>'Sheet 2'!#REF!</f>
        <v>#REF!</v>
      </c>
      <c r="H59" s="50" t="e">
        <f t="shared" si="15"/>
        <v>#REF!</v>
      </c>
      <c r="I59" s="53" t="e">
        <f>'Sheet 2'!#REF!</f>
        <v>#REF!</v>
      </c>
      <c r="J59" s="53"/>
      <c r="K59" s="53"/>
      <c r="L59" s="53"/>
      <c r="M59" s="53"/>
      <c r="N59" s="53"/>
      <c r="O59" s="47"/>
      <c r="P59" s="115"/>
      <c r="Q59" s="47"/>
      <c r="R59" s="115"/>
      <c r="S59" s="53"/>
      <c r="T59" s="53"/>
      <c r="U59" s="53"/>
      <c r="V59" s="53"/>
      <c r="W59" s="53"/>
      <c r="X59" s="53"/>
      <c r="Y59" s="54">
        <v>30000</v>
      </c>
      <c r="Z59" s="54">
        <v>30000</v>
      </c>
      <c r="AA59" s="54">
        <v>30000</v>
      </c>
      <c r="AB59" s="54">
        <v>30000</v>
      </c>
      <c r="AC59" s="54">
        <v>30000</v>
      </c>
      <c r="AD59" s="47"/>
      <c r="AE59" s="54">
        <v>350000</v>
      </c>
      <c r="AF59" s="53"/>
      <c r="AG59" s="47"/>
      <c r="AH59" s="53">
        <f t="shared" si="11"/>
        <v>500000</v>
      </c>
      <c r="AI59" s="51"/>
      <c r="AJ59" s="55" t="e">
        <f t="shared" si="2"/>
        <v>#REF!</v>
      </c>
    </row>
    <row r="60" spans="1:36" s="36" customFormat="1" ht="15.75" x14ac:dyDescent="0.25">
      <c r="A60" s="64" t="str">
        <f>'Sheet 2'!A37</f>
        <v>OKxxxx</v>
      </c>
      <c r="B60" s="65" t="str">
        <f>'Sheet 2'!C37</f>
        <v>Coltrane South - Aya Rowe - Chiro</v>
      </c>
      <c r="C60" s="52" t="s">
        <v>387</v>
      </c>
      <c r="D60" s="87" t="s">
        <v>45</v>
      </c>
      <c r="E60" s="52" t="s">
        <v>320</v>
      </c>
      <c r="F60" s="52">
        <f>'Sheet 2'!T37</f>
        <v>0</v>
      </c>
      <c r="G60" s="52">
        <f>'Sheet 2'!U37</f>
        <v>0</v>
      </c>
      <c r="H60" s="50">
        <f t="shared" si="15"/>
        <v>0</v>
      </c>
      <c r="I60" s="53">
        <f>'Sheet 2'!S37</f>
        <v>0</v>
      </c>
      <c r="J60" s="53"/>
      <c r="K60" s="53"/>
      <c r="L60" s="53"/>
      <c r="M60" s="53"/>
      <c r="N60" s="53"/>
      <c r="O60" s="47"/>
      <c r="P60" s="115"/>
      <c r="Q60" s="47"/>
      <c r="R60" s="115"/>
      <c r="S60" s="53"/>
      <c r="T60" s="53"/>
      <c r="U60" s="53"/>
      <c r="V60" s="53"/>
      <c r="W60" s="53"/>
      <c r="X60" s="53"/>
      <c r="Y60" s="54">
        <v>50000</v>
      </c>
      <c r="Z60" s="54">
        <v>100000</v>
      </c>
      <c r="AA60" s="54">
        <v>100000</v>
      </c>
      <c r="AB60" s="54">
        <v>100000</v>
      </c>
      <c r="AC60" s="54">
        <v>100000</v>
      </c>
      <c r="AD60" s="47"/>
      <c r="AE60" s="54">
        <v>300000</v>
      </c>
      <c r="AF60" s="53"/>
      <c r="AG60" s="47"/>
      <c r="AH60" s="53">
        <f t="shared" si="11"/>
        <v>750000</v>
      </c>
      <c r="AI60" s="51"/>
      <c r="AJ60" s="55">
        <f t="shared" si="2"/>
        <v>-750000</v>
      </c>
    </row>
    <row r="61" spans="1:36" s="36" customFormat="1" ht="15.75" x14ac:dyDescent="0.25">
      <c r="A61" s="64" t="e">
        <f>#REF!</f>
        <v>#REF!</v>
      </c>
      <c r="B61" s="65" t="e">
        <f>#REF!</f>
        <v>#REF!</v>
      </c>
      <c r="C61" s="52" t="s">
        <v>387</v>
      </c>
      <c r="D61" s="87" t="s">
        <v>45</v>
      </c>
      <c r="E61" s="52" t="s">
        <v>320</v>
      </c>
      <c r="F61" s="52" t="e">
        <f>#REF!</f>
        <v>#REF!</v>
      </c>
      <c r="G61" s="52" t="e">
        <f>#REF!</f>
        <v>#REF!</v>
      </c>
      <c r="H61" s="50" t="e">
        <f>((G61-F61)/7)/4.3</f>
        <v>#REF!</v>
      </c>
      <c r="I61" s="53" t="e">
        <f>#REF!</f>
        <v>#REF!</v>
      </c>
      <c r="J61" s="53"/>
      <c r="K61" s="53"/>
      <c r="L61" s="53"/>
      <c r="M61" s="53"/>
      <c r="N61" s="53"/>
      <c r="O61" s="47"/>
      <c r="P61" s="115"/>
      <c r="Q61" s="47"/>
      <c r="R61" s="115"/>
      <c r="S61" s="53"/>
      <c r="T61" s="53"/>
      <c r="U61" s="89"/>
      <c r="V61" s="89"/>
      <c r="W61" s="54">
        <v>200000</v>
      </c>
      <c r="X61" s="54">
        <v>225000</v>
      </c>
      <c r="Y61" s="54">
        <v>225000</v>
      </c>
      <c r="Z61" s="54">
        <v>225000</v>
      </c>
      <c r="AA61" s="54">
        <v>225000</v>
      </c>
      <c r="AB61" s="54">
        <v>225000</v>
      </c>
      <c r="AC61" s="54">
        <v>100000</v>
      </c>
      <c r="AD61" s="47"/>
      <c r="AE61" s="54">
        <v>75000</v>
      </c>
      <c r="AF61" s="53"/>
      <c r="AG61" s="47"/>
      <c r="AH61" s="53">
        <f t="shared" si="11"/>
        <v>1500000</v>
      </c>
      <c r="AI61" s="51"/>
      <c r="AJ61" s="55" t="e">
        <f t="shared" si="2"/>
        <v>#REF!</v>
      </c>
    </row>
    <row r="62" spans="1:36" s="36" customFormat="1" ht="15.75" x14ac:dyDescent="0.25">
      <c r="A62" s="97"/>
      <c r="B62" s="98"/>
      <c r="C62" s="91"/>
      <c r="D62" s="91"/>
      <c r="E62" s="91"/>
      <c r="F62" s="91"/>
      <c r="G62" s="91"/>
      <c r="H62" s="92"/>
      <c r="I62" s="59" t="e">
        <f>SUM(I47:I61)</f>
        <v>#REF!</v>
      </c>
      <c r="J62" s="59"/>
      <c r="K62" s="59"/>
      <c r="L62" s="59"/>
      <c r="M62" s="59"/>
      <c r="N62" s="59"/>
      <c r="O62" s="47"/>
      <c r="P62" s="59">
        <f>SUM(P47:P61)</f>
        <v>1552192</v>
      </c>
      <c r="Q62" s="47"/>
      <c r="R62" s="59">
        <f t="shared" ref="R62:AC62" si="16">SUM(R47:R61)</f>
        <v>433221</v>
      </c>
      <c r="S62" s="59">
        <f t="shared" si="16"/>
        <v>438473</v>
      </c>
      <c r="T62" s="59">
        <f t="shared" si="16"/>
        <v>562522</v>
      </c>
      <c r="U62" s="59">
        <f t="shared" si="16"/>
        <v>525000</v>
      </c>
      <c r="V62" s="59">
        <f t="shared" si="16"/>
        <v>625000</v>
      </c>
      <c r="W62" s="59">
        <f t="shared" si="16"/>
        <v>975000</v>
      </c>
      <c r="X62" s="59">
        <f t="shared" si="16"/>
        <v>1016257</v>
      </c>
      <c r="Y62" s="59">
        <f t="shared" si="16"/>
        <v>1373440</v>
      </c>
      <c r="Z62" s="59">
        <f t="shared" si="16"/>
        <v>1256395</v>
      </c>
      <c r="AA62" s="59">
        <f t="shared" si="16"/>
        <v>1185000</v>
      </c>
      <c r="AB62" s="59">
        <f t="shared" si="16"/>
        <v>1185000</v>
      </c>
      <c r="AC62" s="59">
        <f t="shared" si="16"/>
        <v>1035000</v>
      </c>
      <c r="AD62" s="47"/>
      <c r="AE62" s="59">
        <f>SUM(AE48:AE61)</f>
        <v>3142500</v>
      </c>
      <c r="AF62" s="59">
        <f>SUM(AF48:AF61)</f>
        <v>0</v>
      </c>
      <c r="AG62" s="47"/>
      <c r="AH62" s="53">
        <f t="shared" si="11"/>
        <v>15305000</v>
      </c>
      <c r="AI62" s="51"/>
      <c r="AJ62" s="55" t="e">
        <f t="shared" si="2"/>
        <v>#REF!</v>
      </c>
    </row>
    <row r="63" spans="1:36" s="36" customFormat="1" ht="15.75" x14ac:dyDescent="0.25">
      <c r="A63" s="106" t="s">
        <v>73</v>
      </c>
      <c r="B63" s="107"/>
      <c r="C63" s="101" t="s">
        <v>45</v>
      </c>
      <c r="D63" s="102"/>
      <c r="E63" s="102"/>
      <c r="F63" s="102"/>
      <c r="G63" s="102"/>
      <c r="H63" s="84"/>
      <c r="I63" s="103"/>
      <c r="J63" s="103"/>
      <c r="K63" s="103"/>
      <c r="L63" s="103"/>
      <c r="M63" s="103"/>
      <c r="N63" s="103"/>
      <c r="O63" s="47"/>
      <c r="P63" s="103"/>
      <c r="Q63" s="47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47"/>
      <c r="AE63" s="103"/>
      <c r="AF63" s="103"/>
      <c r="AG63" s="47"/>
      <c r="AH63" s="85"/>
      <c r="AI63" s="51"/>
      <c r="AJ63" s="55">
        <f t="shared" si="2"/>
        <v>0</v>
      </c>
    </row>
    <row r="64" spans="1:36" s="36" customFormat="1" ht="15.75" x14ac:dyDescent="0.25">
      <c r="A64" s="60" t="s">
        <v>161</v>
      </c>
      <c r="B64" s="61" t="s">
        <v>163</v>
      </c>
      <c r="C64" s="52" t="s">
        <v>45</v>
      </c>
      <c r="D64" s="52" t="s">
        <v>45</v>
      </c>
      <c r="E64" s="52" t="s">
        <v>320</v>
      </c>
      <c r="F64" s="52" t="e">
        <f>'Sheet 2'!#REF!</f>
        <v>#REF!</v>
      </c>
      <c r="G64" s="52" t="e">
        <f>'Sheet 2'!#REF!</f>
        <v>#REF!</v>
      </c>
      <c r="H64" s="50"/>
      <c r="I64" s="53" t="e">
        <f>'Sheet 2'!#REF!</f>
        <v>#REF!</v>
      </c>
      <c r="J64" s="53"/>
      <c r="K64" s="53"/>
      <c r="L64" s="53"/>
      <c r="M64" s="53"/>
      <c r="N64" s="53"/>
      <c r="O64" s="47"/>
      <c r="P64" s="115"/>
      <c r="Q64" s="47"/>
      <c r="R64" s="115"/>
      <c r="S64" s="53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47"/>
      <c r="AE64" s="54">
        <v>2500000</v>
      </c>
      <c r="AF64" s="53"/>
      <c r="AG64" s="47"/>
      <c r="AH64" s="53">
        <f t="shared" si="11"/>
        <v>2500000</v>
      </c>
      <c r="AI64" s="51"/>
      <c r="AJ64" s="55" t="e">
        <f t="shared" si="2"/>
        <v>#REF!</v>
      </c>
    </row>
    <row r="65" spans="1:36" s="36" customFormat="1" ht="15.75" x14ac:dyDescent="0.25">
      <c r="A65" s="62" t="s">
        <v>180</v>
      </c>
      <c r="B65" s="63" t="s">
        <v>182</v>
      </c>
      <c r="C65" s="52" t="s">
        <v>45</v>
      </c>
      <c r="D65" s="52" t="s">
        <v>45</v>
      </c>
      <c r="E65" s="52" t="s">
        <v>320</v>
      </c>
      <c r="F65" s="52" t="e">
        <f>#REF!</f>
        <v>#REF!</v>
      </c>
      <c r="G65" s="52" t="e">
        <f>#REF!</f>
        <v>#REF!</v>
      </c>
      <c r="H65" s="50" t="e">
        <f t="shared" ref="H65:H73" si="17">((G65-F65)/7)/4.3</f>
        <v>#REF!</v>
      </c>
      <c r="I65" s="53" t="e">
        <f>#REF!</f>
        <v>#REF!</v>
      </c>
      <c r="J65" s="53"/>
      <c r="K65" s="53"/>
      <c r="L65" s="53"/>
      <c r="M65" s="53"/>
      <c r="N65" s="53"/>
      <c r="O65" s="47"/>
      <c r="P65" s="115"/>
      <c r="Q65" s="47"/>
      <c r="R65" s="115"/>
      <c r="S65" s="53"/>
      <c r="T65" s="53"/>
      <c r="U65" s="58"/>
      <c r="V65" s="54">
        <v>125000</v>
      </c>
      <c r="W65" s="54">
        <v>150000</v>
      </c>
      <c r="X65" s="54">
        <v>125000</v>
      </c>
      <c r="Y65" s="53"/>
      <c r="Z65" s="53"/>
      <c r="AA65" s="53"/>
      <c r="AB65" s="53"/>
      <c r="AC65" s="53"/>
      <c r="AD65" s="47"/>
      <c r="AE65" s="53"/>
      <c r="AF65" s="53"/>
      <c r="AG65" s="47"/>
      <c r="AH65" s="53">
        <f t="shared" si="11"/>
        <v>400000</v>
      </c>
      <c r="AI65" s="51"/>
      <c r="AJ65" s="55" t="e">
        <f t="shared" si="2"/>
        <v>#REF!</v>
      </c>
    </row>
    <row r="66" spans="1:36" s="36" customFormat="1" ht="15.75" x14ac:dyDescent="0.25">
      <c r="A66" s="34" t="s">
        <v>316</v>
      </c>
      <c r="B66" s="35" t="s">
        <v>317</v>
      </c>
      <c r="C66" s="52" t="s">
        <v>45</v>
      </c>
      <c r="D66" s="52" t="s">
        <v>45</v>
      </c>
      <c r="E66" s="52" t="s">
        <v>320</v>
      </c>
      <c r="F66" s="52" t="e">
        <f>#REF!</f>
        <v>#REF!</v>
      </c>
      <c r="G66" s="52" t="e">
        <f>#REF!</f>
        <v>#REF!</v>
      </c>
      <c r="H66" s="50" t="e">
        <f t="shared" si="17"/>
        <v>#REF!</v>
      </c>
      <c r="I66" s="53" t="e">
        <f>#REF!</f>
        <v>#REF!</v>
      </c>
      <c r="J66" s="53"/>
      <c r="K66" s="53"/>
      <c r="L66" s="53"/>
      <c r="M66" s="53"/>
      <c r="N66" s="53"/>
      <c r="O66" s="47"/>
      <c r="P66" s="115"/>
      <c r="Q66" s="47"/>
      <c r="R66" s="115"/>
      <c r="S66" s="53"/>
      <c r="T66" s="53"/>
      <c r="U66" s="54">
        <v>120554</v>
      </c>
      <c r="V66" s="54">
        <v>640652</v>
      </c>
      <c r="W66" s="54">
        <v>780589</v>
      </c>
      <c r="X66" s="54">
        <v>1254600</v>
      </c>
      <c r="Y66" s="54">
        <v>1554600</v>
      </c>
      <c r="Z66" s="54">
        <v>1884600</v>
      </c>
      <c r="AA66" s="54">
        <v>1884600</v>
      </c>
      <c r="AB66" s="54">
        <v>1884600</v>
      </c>
      <c r="AC66" s="54">
        <v>1254600</v>
      </c>
      <c r="AD66" s="47"/>
      <c r="AE66" s="54">
        <v>740605</v>
      </c>
      <c r="AF66" s="53"/>
      <c r="AG66" s="47"/>
      <c r="AH66" s="53">
        <f>SUM(P66:AG66)</f>
        <v>12000000</v>
      </c>
      <c r="AI66" s="51"/>
      <c r="AJ66" s="55" t="e">
        <f t="shared" si="2"/>
        <v>#REF!</v>
      </c>
    </row>
    <row r="67" spans="1:36" s="36" customFormat="1" ht="15.75" x14ac:dyDescent="0.25">
      <c r="A67" s="34" t="s">
        <v>185</v>
      </c>
      <c r="B67" s="35" t="s">
        <v>186</v>
      </c>
      <c r="C67" s="52" t="s">
        <v>45</v>
      </c>
      <c r="D67" s="52" t="s">
        <v>45</v>
      </c>
      <c r="E67" s="52" t="s">
        <v>320</v>
      </c>
      <c r="F67" s="52" t="e">
        <f>'Sheet 2'!#REF!</f>
        <v>#REF!</v>
      </c>
      <c r="G67" s="52" t="e">
        <f>'Sheet 2'!#REF!</f>
        <v>#REF!</v>
      </c>
      <c r="H67" s="50" t="e">
        <f t="shared" si="17"/>
        <v>#REF!</v>
      </c>
      <c r="I67" s="53" t="e">
        <f>'Sheet 2'!#REF!</f>
        <v>#REF!</v>
      </c>
      <c r="J67" s="53"/>
      <c r="K67" s="53"/>
      <c r="L67" s="53"/>
      <c r="M67" s="53"/>
      <c r="N67" s="53"/>
      <c r="O67" s="47"/>
      <c r="P67" s="115"/>
      <c r="Q67" s="47"/>
      <c r="R67" s="115"/>
      <c r="S67" s="53"/>
      <c r="T67" s="53"/>
      <c r="U67" s="53"/>
      <c r="V67" s="54">
        <v>100000</v>
      </c>
      <c r="W67" s="54">
        <v>150000</v>
      </c>
      <c r="X67" s="54">
        <v>150000</v>
      </c>
      <c r="Y67" s="54">
        <v>150000</v>
      </c>
      <c r="Z67" s="54">
        <v>150000</v>
      </c>
      <c r="AA67" s="54">
        <v>200000</v>
      </c>
      <c r="AB67" s="54">
        <v>200000</v>
      </c>
      <c r="AC67" s="54">
        <v>200000</v>
      </c>
      <c r="AD67" s="47"/>
      <c r="AE67" s="54">
        <v>450000</v>
      </c>
      <c r="AF67" s="53"/>
      <c r="AG67" s="47"/>
      <c r="AH67" s="53">
        <f t="shared" si="11"/>
        <v>1750000</v>
      </c>
      <c r="AI67" s="51"/>
      <c r="AJ67" s="55" t="e">
        <f t="shared" si="2"/>
        <v>#REF!</v>
      </c>
    </row>
    <row r="68" spans="1:36" s="36" customFormat="1" ht="15.75" x14ac:dyDescent="0.25">
      <c r="A68" s="34" t="s">
        <v>187</v>
      </c>
      <c r="B68" s="35" t="s">
        <v>188</v>
      </c>
      <c r="C68" s="52" t="s">
        <v>45</v>
      </c>
      <c r="D68" s="52" t="s">
        <v>45</v>
      </c>
      <c r="E68" s="52" t="s">
        <v>320</v>
      </c>
      <c r="F68" s="52" t="e">
        <f>'Sheet 2'!#REF!</f>
        <v>#REF!</v>
      </c>
      <c r="G68" s="52" t="e">
        <f>'Sheet 2'!#REF!</f>
        <v>#REF!</v>
      </c>
      <c r="H68" s="50" t="e">
        <f t="shared" si="17"/>
        <v>#REF!</v>
      </c>
      <c r="I68" s="53" t="e">
        <f>'Sheet 2'!#REF!</f>
        <v>#REF!</v>
      </c>
      <c r="J68" s="53"/>
      <c r="K68" s="53"/>
      <c r="L68" s="53"/>
      <c r="M68" s="53"/>
      <c r="N68" s="53"/>
      <c r="O68" s="47"/>
      <c r="P68" s="115"/>
      <c r="Q68" s="47"/>
      <c r="R68" s="115"/>
      <c r="S68" s="53"/>
      <c r="T68" s="53"/>
      <c r="U68" s="53"/>
      <c r="V68" s="53"/>
      <c r="W68" s="58"/>
      <c r="X68" s="58"/>
      <c r="Y68" s="54">
        <v>125000</v>
      </c>
      <c r="Z68" s="54">
        <v>250000</v>
      </c>
      <c r="AA68" s="54">
        <v>350000</v>
      </c>
      <c r="AB68" s="54">
        <v>350000</v>
      </c>
      <c r="AC68" s="54">
        <v>350000</v>
      </c>
      <c r="AD68" s="47"/>
      <c r="AE68" s="54">
        <v>1075000</v>
      </c>
      <c r="AF68" s="53"/>
      <c r="AG68" s="47"/>
      <c r="AH68" s="53">
        <f t="shared" si="11"/>
        <v>2500000</v>
      </c>
      <c r="AI68" s="51"/>
      <c r="AJ68" s="55" t="e">
        <f t="shared" si="2"/>
        <v>#REF!</v>
      </c>
    </row>
    <row r="69" spans="1:36" s="36" customFormat="1" ht="15.75" x14ac:dyDescent="0.25">
      <c r="A69" s="34" t="s">
        <v>191</v>
      </c>
      <c r="B69" s="35" t="s">
        <v>192</v>
      </c>
      <c r="C69" s="52" t="s">
        <v>45</v>
      </c>
      <c r="D69" s="52" t="s">
        <v>45</v>
      </c>
      <c r="E69" s="52" t="s">
        <v>320</v>
      </c>
      <c r="F69" s="52">
        <f>'Sheet 2'!T50</f>
        <v>44344</v>
      </c>
      <c r="G69" s="52">
        <f>'Sheet 2'!U50</f>
        <v>44400</v>
      </c>
      <c r="H69" s="50">
        <f t="shared" si="17"/>
        <v>1.8604651162790697</v>
      </c>
      <c r="I69" s="53">
        <f>'Sheet 2'!S50</f>
        <v>90000</v>
      </c>
      <c r="J69" s="53"/>
      <c r="K69" s="53"/>
      <c r="L69" s="53"/>
      <c r="M69" s="53"/>
      <c r="N69" s="53"/>
      <c r="O69" s="47"/>
      <c r="P69" s="115"/>
      <c r="Q69" s="47"/>
      <c r="R69" s="115"/>
      <c r="S69" s="53"/>
      <c r="T69" s="53"/>
      <c r="U69" s="53"/>
      <c r="V69" s="53"/>
      <c r="W69" s="58"/>
      <c r="X69" s="58"/>
      <c r="Y69" s="58"/>
      <c r="Z69" s="58"/>
      <c r="AA69" s="54">
        <v>800000</v>
      </c>
      <c r="AB69" s="54">
        <v>800000</v>
      </c>
      <c r="AC69" s="54">
        <v>800000</v>
      </c>
      <c r="AD69" s="47"/>
      <c r="AE69" s="54">
        <v>1600000</v>
      </c>
      <c r="AF69" s="53"/>
      <c r="AG69" s="47"/>
      <c r="AH69" s="53">
        <f t="shared" si="11"/>
        <v>4000000</v>
      </c>
      <c r="AI69" s="51"/>
      <c r="AJ69" s="55">
        <f t="shared" si="2"/>
        <v>-3910000</v>
      </c>
    </row>
    <row r="70" spans="1:36" s="36" customFormat="1" ht="15.75" x14ac:dyDescent="0.25">
      <c r="A70" s="34" t="s">
        <v>127</v>
      </c>
      <c r="B70" s="35" t="s">
        <v>396</v>
      </c>
      <c r="C70" s="52" t="s">
        <v>45</v>
      </c>
      <c r="D70" s="52" t="s">
        <v>45</v>
      </c>
      <c r="E70" s="52" t="s">
        <v>320</v>
      </c>
      <c r="F70" s="52">
        <f>'Sheet 2'!T35</f>
        <v>0</v>
      </c>
      <c r="G70" s="52">
        <f>'Sheet 2'!U35</f>
        <v>0</v>
      </c>
      <c r="H70" s="50">
        <f t="shared" si="17"/>
        <v>0</v>
      </c>
      <c r="I70" s="53">
        <f>'Sheet 2'!S35</f>
        <v>1750000</v>
      </c>
      <c r="J70" s="53"/>
      <c r="K70" s="53"/>
      <c r="L70" s="53"/>
      <c r="M70" s="53"/>
      <c r="N70" s="53"/>
      <c r="O70" s="47"/>
      <c r="P70" s="115"/>
      <c r="Q70" s="47"/>
      <c r="R70" s="115"/>
      <c r="S70" s="53"/>
      <c r="T70" s="54">
        <f>355000/4</f>
        <v>88750</v>
      </c>
      <c r="U70" s="54">
        <v>100000</v>
      </c>
      <c r="V70" s="54">
        <v>110000</v>
      </c>
      <c r="W70" s="54">
        <v>56250</v>
      </c>
      <c r="X70" s="53"/>
      <c r="Y70" s="53"/>
      <c r="Z70" s="53"/>
      <c r="AA70" s="53"/>
      <c r="AB70" s="53"/>
      <c r="AC70" s="53"/>
      <c r="AD70" s="47"/>
      <c r="AE70" s="53"/>
      <c r="AF70" s="53"/>
      <c r="AG70" s="47"/>
      <c r="AH70" s="53">
        <f t="shared" si="11"/>
        <v>355000</v>
      </c>
      <c r="AI70" s="51"/>
      <c r="AJ70" s="55">
        <f t="shared" si="2"/>
        <v>1395000</v>
      </c>
    </row>
    <row r="71" spans="1:36" s="36" customFormat="1" ht="15.75" x14ac:dyDescent="0.25">
      <c r="A71" s="34" t="s">
        <v>194</v>
      </c>
      <c r="B71" s="35" t="s">
        <v>397</v>
      </c>
      <c r="C71" s="52" t="s">
        <v>45</v>
      </c>
      <c r="D71" s="52" t="s">
        <v>45</v>
      </c>
      <c r="E71" s="52" t="s">
        <v>320</v>
      </c>
      <c r="F71" s="52">
        <f>'Sheet 2'!T38</f>
        <v>44447</v>
      </c>
      <c r="G71" s="52">
        <f>'Sheet 2'!U38</f>
        <v>44687.8</v>
      </c>
      <c r="H71" s="50">
        <f t="shared" si="17"/>
        <v>8.0000000000000977</v>
      </c>
      <c r="I71" s="53">
        <f>'Sheet 2'!S38</f>
        <v>1000000</v>
      </c>
      <c r="J71" s="53"/>
      <c r="K71" s="53"/>
      <c r="L71" s="53"/>
      <c r="M71" s="53"/>
      <c r="N71" s="53"/>
      <c r="O71" s="47"/>
      <c r="P71" s="115"/>
      <c r="Q71" s="47"/>
      <c r="R71" s="115"/>
      <c r="S71" s="53"/>
      <c r="T71" s="58"/>
      <c r="U71" s="58"/>
      <c r="V71" s="58"/>
      <c r="W71" s="58"/>
      <c r="X71" s="53"/>
      <c r="Y71" s="53"/>
      <c r="Z71" s="53"/>
      <c r="AA71" s="53"/>
      <c r="AB71" s="53"/>
      <c r="AC71" s="53"/>
      <c r="AD71" s="47"/>
      <c r="AE71" s="54">
        <v>3000000</v>
      </c>
      <c r="AF71" s="53"/>
      <c r="AG71" s="47"/>
      <c r="AH71" s="53">
        <f t="shared" si="11"/>
        <v>3000000</v>
      </c>
      <c r="AI71" s="51"/>
      <c r="AJ71" s="55">
        <f t="shared" si="2"/>
        <v>-2000000</v>
      </c>
    </row>
    <row r="72" spans="1:36" s="36" customFormat="1" ht="15.75" x14ac:dyDescent="0.25">
      <c r="A72" s="34" t="s">
        <v>398</v>
      </c>
      <c r="B72" s="35" t="s">
        <v>225</v>
      </c>
      <c r="C72" s="52" t="s">
        <v>45</v>
      </c>
      <c r="D72" s="52" t="s">
        <v>45</v>
      </c>
      <c r="E72" s="52" t="s">
        <v>320</v>
      </c>
      <c r="F72" s="52">
        <f>'Sheet 2'!T23</f>
        <v>44417</v>
      </c>
      <c r="G72" s="52">
        <f>'Sheet 2'!U23</f>
        <v>44657.8</v>
      </c>
      <c r="H72" s="50">
        <f t="shared" si="17"/>
        <v>8.0000000000000977</v>
      </c>
      <c r="I72" s="53">
        <f>'Sheet 2'!S23</f>
        <v>1736318</v>
      </c>
      <c r="J72" s="53"/>
      <c r="K72" s="53"/>
      <c r="L72" s="53"/>
      <c r="M72" s="53"/>
      <c r="N72" s="53"/>
      <c r="O72" s="47"/>
      <c r="P72" s="115"/>
      <c r="Q72" s="47"/>
      <c r="R72" s="115"/>
      <c r="S72" s="53"/>
      <c r="T72" s="58"/>
      <c r="U72" s="58"/>
      <c r="V72" s="58"/>
      <c r="W72" s="58"/>
      <c r="X72" s="53"/>
      <c r="Y72" s="53"/>
      <c r="Z72" s="53"/>
      <c r="AA72" s="53"/>
      <c r="AB72" s="53"/>
      <c r="AC72" s="53"/>
      <c r="AD72" s="47"/>
      <c r="AE72" s="53">
        <v>1500000</v>
      </c>
      <c r="AF72" s="53"/>
      <c r="AG72" s="47"/>
      <c r="AH72" s="53">
        <f t="shared" si="11"/>
        <v>1500000</v>
      </c>
      <c r="AI72" s="51"/>
      <c r="AJ72" s="55">
        <f t="shared" si="2"/>
        <v>236318</v>
      </c>
    </row>
    <row r="73" spans="1:36" s="36" customFormat="1" ht="15.75" x14ac:dyDescent="0.25">
      <c r="A73" s="34" t="e">
        <f>#REF!</f>
        <v>#REF!</v>
      </c>
      <c r="B73" s="35" t="e">
        <f>#REF!</f>
        <v>#REF!</v>
      </c>
      <c r="C73" s="52" t="s">
        <v>45</v>
      </c>
      <c r="D73" s="52" t="s">
        <v>45</v>
      </c>
      <c r="E73" s="52" t="s">
        <v>320</v>
      </c>
      <c r="F73" s="52" t="e">
        <f>#REF!</f>
        <v>#REF!</v>
      </c>
      <c r="G73" s="52" t="e">
        <f>#REF!</f>
        <v>#REF!</v>
      </c>
      <c r="H73" s="50" t="e">
        <f t="shared" si="17"/>
        <v>#REF!</v>
      </c>
      <c r="I73" s="53">
        <f>'Sheet 2'!S24</f>
        <v>376000</v>
      </c>
      <c r="J73" s="53"/>
      <c r="K73" s="53"/>
      <c r="L73" s="53"/>
      <c r="M73" s="53"/>
      <c r="N73" s="53"/>
      <c r="O73" s="47"/>
      <c r="P73" s="115"/>
      <c r="Q73" s="47"/>
      <c r="R73" s="115"/>
      <c r="S73" s="53"/>
      <c r="T73" s="58"/>
      <c r="U73" s="58"/>
      <c r="V73" s="58"/>
      <c r="W73" s="58"/>
      <c r="X73" s="53"/>
      <c r="Y73" s="53"/>
      <c r="Z73" s="53"/>
      <c r="AA73" s="53"/>
      <c r="AB73" s="53"/>
      <c r="AC73" s="53"/>
      <c r="AD73" s="47"/>
      <c r="AE73" s="53">
        <v>2000000</v>
      </c>
      <c r="AF73" s="53"/>
      <c r="AG73" s="47"/>
      <c r="AH73" s="53">
        <f t="shared" si="11"/>
        <v>2000000</v>
      </c>
      <c r="AI73" s="51"/>
      <c r="AJ73" s="55">
        <f t="shared" si="2"/>
        <v>-1624000</v>
      </c>
    </row>
    <row r="74" spans="1:36" s="36" customFormat="1" ht="15.75" x14ac:dyDescent="0.25">
      <c r="A74" s="99"/>
      <c r="B74" s="100"/>
      <c r="C74" s="91"/>
      <c r="D74" s="91"/>
      <c r="E74" s="91"/>
      <c r="F74" s="91"/>
      <c r="G74" s="91"/>
      <c r="H74" s="92"/>
      <c r="I74" s="59" t="e">
        <f>SUM(I64:I73)</f>
        <v>#REF!</v>
      </c>
      <c r="J74" s="59"/>
      <c r="K74" s="59"/>
      <c r="L74" s="59"/>
      <c r="M74" s="59"/>
      <c r="N74" s="59"/>
      <c r="O74" s="47"/>
      <c r="P74" s="59">
        <f>SUM(P64:P73)</f>
        <v>0</v>
      </c>
      <c r="Q74" s="47"/>
      <c r="R74" s="59">
        <f>SUM(R64:R73)</f>
        <v>0</v>
      </c>
      <c r="S74" s="59">
        <f>SUM(S64:S71)</f>
        <v>0</v>
      </c>
      <c r="T74" s="59">
        <f t="shared" ref="T74:AC74" si="18">SUM(T64:T71)</f>
        <v>88750</v>
      </c>
      <c r="U74" s="59">
        <f t="shared" si="18"/>
        <v>220554</v>
      </c>
      <c r="V74" s="59">
        <f t="shared" si="18"/>
        <v>975652</v>
      </c>
      <c r="W74" s="59">
        <f t="shared" si="18"/>
        <v>1136839</v>
      </c>
      <c r="X74" s="59">
        <f t="shared" si="18"/>
        <v>1529600</v>
      </c>
      <c r="Y74" s="59">
        <f t="shared" si="18"/>
        <v>1829600</v>
      </c>
      <c r="Z74" s="59">
        <f t="shared" si="18"/>
        <v>2284600</v>
      </c>
      <c r="AA74" s="59">
        <f t="shared" si="18"/>
        <v>3234600</v>
      </c>
      <c r="AB74" s="59">
        <f t="shared" si="18"/>
        <v>3234600</v>
      </c>
      <c r="AC74" s="59">
        <f t="shared" si="18"/>
        <v>2604600</v>
      </c>
      <c r="AD74" s="47"/>
      <c r="AE74" s="59">
        <f>SUM(AE64:AE73)</f>
        <v>12865605</v>
      </c>
      <c r="AF74" s="59">
        <f>SUM(AF64:AF71)</f>
        <v>0</v>
      </c>
      <c r="AG74" s="47"/>
      <c r="AH74" s="53">
        <f t="shared" si="11"/>
        <v>30005000</v>
      </c>
      <c r="AI74" s="51"/>
      <c r="AJ74" s="55" t="e">
        <f>I74-AH74</f>
        <v>#REF!</v>
      </c>
    </row>
    <row r="75" spans="1:36" s="36" customFormat="1" ht="16.5" thickBot="1" x14ac:dyDescent="0.3">
      <c r="A75" s="34"/>
      <c r="B75" s="35"/>
      <c r="C75" s="52"/>
      <c r="D75" s="52"/>
      <c r="E75" s="52"/>
      <c r="F75" s="52"/>
      <c r="G75" s="141"/>
      <c r="H75" s="142"/>
      <c r="I75" s="143"/>
      <c r="J75" s="143"/>
      <c r="K75" s="143"/>
      <c r="L75" s="143"/>
      <c r="M75" s="143"/>
      <c r="N75" s="143"/>
      <c r="O75" s="144"/>
      <c r="P75" s="143"/>
      <c r="Q75" s="144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4"/>
      <c r="AE75" s="143"/>
      <c r="AF75" s="143"/>
      <c r="AG75" s="144"/>
      <c r="AH75" s="143">
        <f t="shared" si="11"/>
        <v>0</v>
      </c>
      <c r="AI75" s="145"/>
      <c r="AJ75" s="55">
        <f>I75-AH75</f>
        <v>0</v>
      </c>
    </row>
    <row r="76" spans="1:36" s="36" customFormat="1" ht="16.5" thickBot="1" x14ac:dyDescent="0.3">
      <c r="C76" s="37"/>
      <c r="D76" s="37"/>
      <c r="E76" s="37"/>
      <c r="F76" s="37"/>
      <c r="G76" s="147"/>
      <c r="H76" s="148" t="s">
        <v>404</v>
      </c>
      <c r="I76" s="149" t="e">
        <f>SUM(I4:I74)-I17-I22-I37-I41-I44-I62-I74</f>
        <v>#REF!</v>
      </c>
      <c r="J76" s="149">
        <f>SUM(J4:J74)-J17-J22-J37-J44-J62-J74</f>
        <v>25064428</v>
      </c>
      <c r="K76" s="149" t="e">
        <f>SUM(K4:K74)-K17-K22-K37-K44-K62-K74</f>
        <v>#REF!</v>
      </c>
      <c r="L76" s="149">
        <f>SUM(L4:L74)-L17-L22-L37-L44-L62-L74</f>
        <v>22474518</v>
      </c>
      <c r="M76" s="149" t="e">
        <f>SUM(M4:M74)-M17-M22-M37-M44-M62-M74</f>
        <v>#REF!</v>
      </c>
      <c r="N76" s="149" t="e">
        <f>SUM(N4:N74)-N17-N22-N37-N44-N62-N74</f>
        <v>#REF!</v>
      </c>
      <c r="O76" s="150"/>
      <c r="P76" s="151">
        <f>SUM(P4:P74)-P17-P22-P37-P41-P44-P62-P74</f>
        <v>13938499</v>
      </c>
      <c r="Q76" s="150"/>
      <c r="R76" s="151">
        <f>SUM(R4:R74)-R17-R22-R37-R41-R44-R62-R74</f>
        <v>3455936</v>
      </c>
      <c r="S76" s="149">
        <f>(SUM(S4:S74)-S17-S22-S37-S41-S44-S62-S74)</f>
        <v>3489659.5</v>
      </c>
      <c r="T76" s="149">
        <f t="shared" ref="T76:AC76" si="19">SUM(T4:T74)-T17-T22-T37-T41-T44-T62-T74</f>
        <v>4071921.5</v>
      </c>
      <c r="U76" s="149">
        <f t="shared" si="19"/>
        <v>4295586.5</v>
      </c>
      <c r="V76" s="149">
        <f t="shared" si="19"/>
        <v>5080864.5</v>
      </c>
      <c r="W76" s="149">
        <f t="shared" si="19"/>
        <v>5467288.5</v>
      </c>
      <c r="X76" s="149">
        <f t="shared" si="19"/>
        <v>5319498.5</v>
      </c>
      <c r="Y76" s="149">
        <f t="shared" si="19"/>
        <v>5648554</v>
      </c>
      <c r="Z76" s="149">
        <f t="shared" si="19"/>
        <v>5419959</v>
      </c>
      <c r="AA76" s="149">
        <f t="shared" si="19"/>
        <v>6173564</v>
      </c>
      <c r="AB76" s="149">
        <f t="shared" si="19"/>
        <v>5501722</v>
      </c>
      <c r="AC76" s="149">
        <f t="shared" si="19"/>
        <v>3762954</v>
      </c>
      <c r="AD76" s="150"/>
      <c r="AE76" s="149">
        <f>SUM(AE4:AE74)-AE17-AE22-AE37-AE41-AE44-AE62-AE74</f>
        <v>16008105</v>
      </c>
      <c r="AF76" s="149">
        <f>SUM(AF4:AF74)-AF17-AF22-AF37-AF41-AF44-AF62-AF74</f>
        <v>0</v>
      </c>
      <c r="AG76" s="150"/>
      <c r="AH76" s="152">
        <f t="shared" si="11"/>
        <v>87634112</v>
      </c>
      <c r="AI76" s="153"/>
      <c r="AJ76" s="154" t="e">
        <f>I76-AH76</f>
        <v>#REF!</v>
      </c>
    </row>
    <row r="77" spans="1:36" s="90" customFormat="1" ht="15.75" x14ac:dyDescent="0.25">
      <c r="C77" s="122"/>
      <c r="D77" s="122"/>
      <c r="E77" s="122"/>
      <c r="F77" s="122"/>
      <c r="G77" s="123"/>
      <c r="H77" s="124" t="s">
        <v>405</v>
      </c>
      <c r="I77" s="125"/>
      <c r="J77" s="125"/>
      <c r="K77" s="125"/>
      <c r="L77" s="125"/>
      <c r="M77" s="125"/>
      <c r="N77" s="125"/>
      <c r="O77" s="126"/>
      <c r="P77" s="125">
        <v>14657045</v>
      </c>
      <c r="Q77" s="126"/>
      <c r="R77" s="128">
        <v>2798117.1428571427</v>
      </c>
      <c r="S77" s="128">
        <v>3206824.6428571427</v>
      </c>
      <c r="T77" s="128">
        <v>4008392.6428571427</v>
      </c>
      <c r="U77" s="128">
        <v>4318997.6428571427</v>
      </c>
      <c r="V77" s="128">
        <v>5069566.6428571418</v>
      </c>
      <c r="W77" s="128">
        <v>5575814.6428571418</v>
      </c>
      <c r="X77" s="128">
        <v>5314704.6428571418</v>
      </c>
      <c r="Y77" s="128">
        <v>5476840</v>
      </c>
      <c r="Z77" s="128">
        <v>5359959</v>
      </c>
      <c r="AA77" s="128">
        <v>6173564</v>
      </c>
      <c r="AB77" s="128">
        <v>5501722</v>
      </c>
      <c r="AC77" s="128">
        <v>3866535</v>
      </c>
      <c r="AD77" s="146"/>
      <c r="AE77" s="125">
        <v>16008105</v>
      </c>
      <c r="AF77" s="125"/>
      <c r="AG77" s="146"/>
      <c r="AH77" s="125"/>
      <c r="AI77" s="126"/>
    </row>
    <row r="78" spans="1:36" ht="15.75" x14ac:dyDescent="0.25">
      <c r="G78" s="75"/>
      <c r="H78" s="38" t="s">
        <v>406</v>
      </c>
      <c r="I78" s="76"/>
      <c r="J78" s="76"/>
      <c r="K78" s="76"/>
      <c r="L78" s="76"/>
      <c r="M78" s="76"/>
      <c r="N78" s="76"/>
      <c r="O78" s="77"/>
      <c r="P78" s="128">
        <f>P76-P77</f>
        <v>-718546</v>
      </c>
      <c r="Q78" s="126"/>
      <c r="R78" s="128">
        <f>R76-R77</f>
        <v>657818.85714285728</v>
      </c>
      <c r="S78" s="128">
        <f t="shared" ref="S78:AC78" si="20">S76-S77</f>
        <v>282834.85714285728</v>
      </c>
      <c r="T78" s="128">
        <f t="shared" si="20"/>
        <v>63528.857142857276</v>
      </c>
      <c r="U78" s="128">
        <f t="shared" si="20"/>
        <v>-23411.142857142724</v>
      </c>
      <c r="V78" s="128">
        <f t="shared" si="20"/>
        <v>11297.857142858207</v>
      </c>
      <c r="W78" s="128">
        <f t="shared" si="20"/>
        <v>-108526.14285714179</v>
      </c>
      <c r="X78" s="128">
        <f t="shared" si="20"/>
        <v>4793.8571428582072</v>
      </c>
      <c r="Y78" s="128">
        <f t="shared" si="20"/>
        <v>171714</v>
      </c>
      <c r="Z78" s="128">
        <f t="shared" si="20"/>
        <v>60000</v>
      </c>
      <c r="AA78" s="128">
        <f t="shared" si="20"/>
        <v>0</v>
      </c>
      <c r="AB78" s="128">
        <f t="shared" si="20"/>
        <v>0</v>
      </c>
      <c r="AC78" s="128">
        <f t="shared" si="20"/>
        <v>-103581</v>
      </c>
      <c r="AD78" s="127"/>
      <c r="AE78" s="125"/>
      <c r="AF78" s="125"/>
      <c r="AG78" s="47"/>
      <c r="AH78" s="76"/>
      <c r="AI78" s="77"/>
      <c r="AJ78" s="90"/>
    </row>
    <row r="79" spans="1:36" ht="15.75" x14ac:dyDescent="0.25">
      <c r="P79" s="130"/>
      <c r="Q79" s="132"/>
      <c r="R79" s="130"/>
      <c r="S79" s="130"/>
      <c r="T79" s="130"/>
      <c r="U79" s="133"/>
      <c r="V79" s="133"/>
      <c r="W79" s="133"/>
      <c r="X79" s="130"/>
      <c r="Y79" s="130"/>
      <c r="Z79" s="130"/>
      <c r="AA79" s="130"/>
      <c r="AB79" s="130"/>
      <c r="AC79" s="130"/>
      <c r="AD79" s="127"/>
      <c r="AE79" s="130"/>
      <c r="AF79" s="130"/>
      <c r="AG79" s="47"/>
    </row>
    <row r="80" spans="1:36" ht="15.75" x14ac:dyDescent="0.25">
      <c r="H80" s="38" t="s">
        <v>407</v>
      </c>
      <c r="P80" s="130"/>
      <c r="Q80" s="132"/>
      <c r="R80" s="136">
        <v>2897650</v>
      </c>
      <c r="S80" s="130"/>
      <c r="T80" s="130"/>
      <c r="U80" s="133"/>
      <c r="V80" s="133"/>
      <c r="W80" s="133"/>
      <c r="X80" s="130"/>
      <c r="Y80" s="130"/>
      <c r="Z80" s="130"/>
      <c r="AA80" s="130"/>
      <c r="AB80" s="130"/>
      <c r="AC80" s="130"/>
      <c r="AD80" s="127"/>
      <c r="AE80" s="130"/>
      <c r="AF80" s="130"/>
      <c r="AG80" s="47"/>
    </row>
    <row r="81" spans="1:36" ht="15.75" x14ac:dyDescent="0.25">
      <c r="H81" s="38" t="s">
        <v>408</v>
      </c>
      <c r="P81" s="130"/>
      <c r="Q81" s="132"/>
      <c r="R81" s="130">
        <f>(R77*0.9)*0.887</f>
        <v>2233736.915142857</v>
      </c>
      <c r="S81" s="130">
        <f t="shared" ref="S81:AE81" si="21">(S77*0.9)*0.887</f>
        <v>2560008.1123928572</v>
      </c>
      <c r="T81" s="130">
        <f t="shared" si="21"/>
        <v>3199899.8467928572</v>
      </c>
      <c r="U81" s="130">
        <f t="shared" si="21"/>
        <v>3447855.8182928571</v>
      </c>
      <c r="V81" s="130">
        <f t="shared" si="21"/>
        <v>4047035.0509928567</v>
      </c>
      <c r="W81" s="130">
        <f t="shared" si="21"/>
        <v>4451172.8293928569</v>
      </c>
      <c r="X81" s="130">
        <f t="shared" si="21"/>
        <v>4242728.716392857</v>
      </c>
      <c r="Y81" s="130">
        <f t="shared" si="21"/>
        <v>4372161.3720000004</v>
      </c>
      <c r="Z81" s="130">
        <f t="shared" si="21"/>
        <v>4278855.269700001</v>
      </c>
      <c r="AA81" s="130">
        <f t="shared" si="21"/>
        <v>4928356.1412000004</v>
      </c>
      <c r="AB81" s="130">
        <f t="shared" si="21"/>
        <v>4392024.6726000002</v>
      </c>
      <c r="AC81" s="130">
        <f t="shared" si="21"/>
        <v>3086654.8905000002</v>
      </c>
      <c r="AD81" s="127"/>
      <c r="AE81" s="130">
        <f t="shared" si="21"/>
        <v>12779270.2215</v>
      </c>
      <c r="AF81" s="130"/>
      <c r="AG81" s="47"/>
    </row>
    <row r="82" spans="1:36" ht="15.75" x14ac:dyDescent="0.25">
      <c r="H82" s="38" t="s">
        <v>406</v>
      </c>
      <c r="P82" s="130"/>
      <c r="Q82" s="132"/>
      <c r="R82" s="130">
        <f>R80-R81</f>
        <v>663913.084857143</v>
      </c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27"/>
      <c r="AE82" s="130"/>
      <c r="AF82" s="130"/>
      <c r="AG82" s="47"/>
    </row>
    <row r="83" spans="1:36" ht="15.75" x14ac:dyDescent="0.25">
      <c r="P83" s="130"/>
      <c r="Q83" s="132"/>
      <c r="R83" s="130"/>
      <c r="S83" s="130"/>
      <c r="T83" s="130"/>
      <c r="U83" s="133"/>
      <c r="V83" s="133"/>
      <c r="W83" s="133"/>
      <c r="X83" s="130"/>
      <c r="Y83" s="130"/>
      <c r="Z83" s="130"/>
      <c r="AA83" s="130"/>
      <c r="AB83" s="130"/>
      <c r="AC83" s="130"/>
      <c r="AD83" s="127"/>
      <c r="AE83" s="130"/>
      <c r="AF83" s="130"/>
      <c r="AG83" s="47"/>
    </row>
    <row r="84" spans="1:36" ht="15.75" x14ac:dyDescent="0.25">
      <c r="H84" s="38" t="s">
        <v>409</v>
      </c>
      <c r="P84" s="130"/>
      <c r="Q84" s="132"/>
      <c r="R84" s="136">
        <v>261214</v>
      </c>
      <c r="S84" s="130"/>
      <c r="T84" s="130"/>
      <c r="U84" s="133"/>
      <c r="V84" s="133"/>
      <c r="W84" s="133"/>
      <c r="X84" s="130"/>
      <c r="Y84" s="130"/>
      <c r="Z84" s="130"/>
      <c r="AA84" s="130"/>
      <c r="AB84" s="130"/>
      <c r="AC84" s="130"/>
      <c r="AD84" s="127"/>
      <c r="AE84" s="130"/>
      <c r="AF84" s="130"/>
      <c r="AG84" s="47"/>
    </row>
    <row r="85" spans="1:36" ht="15.75" x14ac:dyDescent="0.25">
      <c r="H85" s="38" t="s">
        <v>410</v>
      </c>
      <c r="P85" s="130"/>
      <c r="Q85" s="132"/>
      <c r="R85" s="130">
        <f t="shared" ref="R85:AC85" si="22">(R77*0.877)*0.1</f>
        <v>245394.87342857142</v>
      </c>
      <c r="S85" s="130">
        <f t="shared" si="22"/>
        <v>281238.52117857145</v>
      </c>
      <c r="T85" s="130">
        <f t="shared" si="22"/>
        <v>351536.03477857145</v>
      </c>
      <c r="U85" s="130">
        <f t="shared" si="22"/>
        <v>378776.09327857144</v>
      </c>
      <c r="V85" s="130">
        <f t="shared" si="22"/>
        <v>444600.99457857135</v>
      </c>
      <c r="W85" s="130">
        <f t="shared" si="22"/>
        <v>488998.9441785714</v>
      </c>
      <c r="X85" s="130">
        <f t="shared" si="22"/>
        <v>466099.59717857133</v>
      </c>
      <c r="Y85" s="130">
        <f t="shared" si="22"/>
        <v>480318.86800000002</v>
      </c>
      <c r="Z85" s="130">
        <f t="shared" si="22"/>
        <v>470068.40429999999</v>
      </c>
      <c r="AA85" s="130">
        <f t="shared" si="22"/>
        <v>541421.56279999996</v>
      </c>
      <c r="AB85" s="130">
        <f t="shared" si="22"/>
        <v>482501.01940000005</v>
      </c>
      <c r="AC85" s="130">
        <f t="shared" si="22"/>
        <v>339095.11950000003</v>
      </c>
      <c r="AD85" s="127"/>
      <c r="AE85" s="130">
        <f>(AE77*0.877)*0.1</f>
        <v>1403910.8085000003</v>
      </c>
      <c r="AF85" s="130"/>
      <c r="AG85" s="47"/>
    </row>
    <row r="86" spans="1:36" ht="15.75" x14ac:dyDescent="0.25">
      <c r="G86" s="75"/>
      <c r="H86" s="38" t="s">
        <v>406</v>
      </c>
      <c r="I86" s="76"/>
      <c r="J86" s="76"/>
      <c r="K86" s="76"/>
      <c r="L86" s="76"/>
      <c r="M86" s="76"/>
      <c r="N86" s="76"/>
      <c r="O86" s="77"/>
      <c r="P86" s="125"/>
      <c r="Q86" s="126"/>
      <c r="R86" s="128">
        <f>R84-R85</f>
        <v>15819.126571428584</v>
      </c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7"/>
      <c r="AE86" s="125"/>
      <c r="AF86" s="125"/>
      <c r="AG86" s="47"/>
      <c r="AH86" s="76"/>
      <c r="AI86" s="77"/>
      <c r="AJ86" s="90"/>
    </row>
    <row r="87" spans="1:36" ht="15.75" x14ac:dyDescent="0.25">
      <c r="G87" s="75"/>
      <c r="I87" s="76"/>
      <c r="J87" s="76"/>
      <c r="K87" s="76"/>
      <c r="L87" s="76"/>
      <c r="M87" s="76"/>
      <c r="N87" s="76"/>
      <c r="O87" s="77"/>
      <c r="P87" s="125"/>
      <c r="Q87" s="126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25"/>
      <c r="AF87" s="125"/>
      <c r="AG87" s="47"/>
      <c r="AH87" s="76"/>
      <c r="AI87" s="77"/>
      <c r="AJ87" s="90"/>
    </row>
    <row r="88" spans="1:36" ht="15.75" x14ac:dyDescent="0.25">
      <c r="G88" s="75"/>
      <c r="H88" s="38" t="s">
        <v>411</v>
      </c>
      <c r="I88" s="76"/>
      <c r="J88" s="76"/>
      <c r="K88" s="76"/>
      <c r="L88" s="76"/>
      <c r="M88" s="76"/>
      <c r="N88" s="76"/>
      <c r="O88" s="77"/>
      <c r="P88" s="125"/>
      <c r="Q88" s="126"/>
      <c r="R88" s="139">
        <v>9.01E-2</v>
      </c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27"/>
      <c r="AE88" s="125"/>
      <c r="AF88" s="125"/>
      <c r="AG88" s="47"/>
      <c r="AH88" s="76"/>
      <c r="AI88" s="77"/>
      <c r="AJ88" s="90"/>
    </row>
    <row r="89" spans="1:36" ht="15.75" x14ac:dyDescent="0.25">
      <c r="G89" s="75"/>
      <c r="H89" s="38" t="s">
        <v>412</v>
      </c>
      <c r="I89" s="76"/>
      <c r="J89" s="76"/>
      <c r="K89" s="76"/>
      <c r="L89" s="76"/>
      <c r="M89" s="76"/>
      <c r="N89" s="76"/>
      <c r="O89" s="77"/>
      <c r="P89" s="125"/>
      <c r="Q89" s="126"/>
      <c r="R89" s="137">
        <v>0.1</v>
      </c>
      <c r="S89" s="137">
        <v>0.1</v>
      </c>
      <c r="T89" s="137">
        <v>0.1</v>
      </c>
      <c r="U89" s="137">
        <v>0.1</v>
      </c>
      <c r="V89" s="137">
        <v>0.1</v>
      </c>
      <c r="W89" s="137">
        <v>0.1</v>
      </c>
      <c r="X89" s="137">
        <v>0.1</v>
      </c>
      <c r="Y89" s="137">
        <v>0.1</v>
      </c>
      <c r="Z89" s="137">
        <v>0.1</v>
      </c>
      <c r="AA89" s="137">
        <v>0.1</v>
      </c>
      <c r="AB89" s="137">
        <v>0.1</v>
      </c>
      <c r="AC89" s="137">
        <v>0.1</v>
      </c>
      <c r="AD89" s="127"/>
      <c r="AE89" s="137">
        <v>0.1</v>
      </c>
      <c r="AF89" s="125"/>
      <c r="AG89" s="47"/>
      <c r="AH89" s="76"/>
      <c r="AI89" s="77"/>
      <c r="AJ89" s="90"/>
    </row>
    <row r="90" spans="1:36" ht="15.75" x14ac:dyDescent="0.25">
      <c r="G90" s="75"/>
      <c r="H90" s="38" t="s">
        <v>406</v>
      </c>
      <c r="I90" s="76"/>
      <c r="J90" s="76"/>
      <c r="K90" s="76"/>
      <c r="L90" s="76"/>
      <c r="M90" s="76"/>
      <c r="N90" s="76"/>
      <c r="O90" s="77"/>
      <c r="P90" s="125"/>
      <c r="Q90" s="126"/>
      <c r="R90" s="138">
        <f>R88-R89</f>
        <v>-9.900000000000006E-3</v>
      </c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27"/>
      <c r="AE90" s="125"/>
      <c r="AF90" s="125"/>
      <c r="AG90" s="47"/>
      <c r="AH90" s="76"/>
      <c r="AI90" s="77"/>
      <c r="AJ90" s="90"/>
    </row>
    <row r="91" spans="1:36" ht="15.75" x14ac:dyDescent="0.25">
      <c r="P91" s="130"/>
      <c r="Q91" s="132"/>
      <c r="R91" s="130"/>
      <c r="S91" s="130"/>
      <c r="T91" s="130"/>
      <c r="U91" s="133"/>
      <c r="V91" s="133"/>
      <c r="W91" s="133"/>
      <c r="X91" s="130"/>
      <c r="Y91" s="130"/>
      <c r="Z91" s="130"/>
      <c r="AA91" s="130"/>
      <c r="AB91" s="130"/>
      <c r="AC91" s="130"/>
      <c r="AD91" s="127"/>
      <c r="AE91" s="130"/>
      <c r="AF91" s="130"/>
      <c r="AG91" s="47"/>
    </row>
    <row r="92" spans="1:36" ht="15.75" x14ac:dyDescent="0.25">
      <c r="H92" s="38" t="s">
        <v>413</v>
      </c>
      <c r="P92" s="130"/>
      <c r="Q92" s="132"/>
      <c r="R92" s="140">
        <v>257087</v>
      </c>
      <c r="S92" s="134"/>
      <c r="T92" s="135"/>
      <c r="U92" s="131"/>
      <c r="V92" s="133"/>
      <c r="W92" s="133"/>
      <c r="X92" s="130"/>
      <c r="Y92" s="130"/>
      <c r="Z92" s="130"/>
      <c r="AA92" s="130"/>
      <c r="AB92" s="130"/>
      <c r="AC92" s="130"/>
      <c r="AD92" s="127"/>
      <c r="AE92" s="130"/>
      <c r="AF92" s="130"/>
      <c r="AG92" s="47"/>
    </row>
    <row r="93" spans="1:36" ht="15.75" x14ac:dyDescent="0.25">
      <c r="H93" s="38" t="s">
        <v>414</v>
      </c>
      <c r="P93" s="130"/>
      <c r="Q93" s="132"/>
      <c r="R93" s="131">
        <v>275000</v>
      </c>
      <c r="S93" s="131">
        <v>275000</v>
      </c>
      <c r="T93" s="131">
        <v>275000</v>
      </c>
      <c r="U93" s="131">
        <v>293000</v>
      </c>
      <c r="V93" s="131">
        <v>293000</v>
      </c>
      <c r="W93" s="131">
        <v>293000</v>
      </c>
      <c r="X93" s="131">
        <v>300000</v>
      </c>
      <c r="Y93" s="131">
        <v>300000</v>
      </c>
      <c r="Z93" s="131">
        <v>300000</v>
      </c>
      <c r="AA93" s="131">
        <v>300000</v>
      </c>
      <c r="AB93" s="131">
        <v>300000</v>
      </c>
      <c r="AC93" s="131">
        <v>300000</v>
      </c>
      <c r="AD93" s="127"/>
      <c r="AE93" s="131">
        <v>300000</v>
      </c>
      <c r="AF93" s="130"/>
      <c r="AG93" s="47"/>
    </row>
    <row r="94" spans="1:36" ht="15.75" x14ac:dyDescent="0.25">
      <c r="G94" s="75"/>
      <c r="H94" s="38" t="s">
        <v>406</v>
      </c>
      <c r="I94" s="76"/>
      <c r="J94" s="76"/>
      <c r="K94" s="76"/>
      <c r="L94" s="76"/>
      <c r="M94" s="76"/>
      <c r="N94" s="76"/>
      <c r="O94" s="77"/>
      <c r="P94" s="125"/>
      <c r="Q94" s="126"/>
      <c r="R94" s="128">
        <f>R93-R92</f>
        <v>17913</v>
      </c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7"/>
      <c r="AE94" s="125"/>
      <c r="AF94" s="125"/>
      <c r="AG94" s="47"/>
      <c r="AH94" s="76"/>
      <c r="AI94" s="77"/>
      <c r="AJ94" s="90"/>
    </row>
    <row r="95" spans="1:36" ht="15.75" x14ac:dyDescent="0.25">
      <c r="P95" s="130"/>
      <c r="Q95" s="132"/>
      <c r="R95" s="131"/>
      <c r="S95" s="134"/>
      <c r="T95" s="135"/>
      <c r="U95" s="131"/>
      <c r="V95" s="133"/>
      <c r="W95" s="133"/>
      <c r="X95" s="130"/>
      <c r="Y95" s="130"/>
      <c r="Z95" s="130"/>
      <c r="AA95" s="130"/>
      <c r="AB95" s="130"/>
      <c r="AC95" s="130"/>
      <c r="AD95" s="127"/>
      <c r="AE95" s="130"/>
      <c r="AF95" s="130"/>
      <c r="AG95" s="47"/>
    </row>
    <row r="96" spans="1:36" s="78" customFormat="1" ht="15.75" x14ac:dyDescent="0.25">
      <c r="A96"/>
      <c r="B96"/>
      <c r="C96" s="74"/>
      <c r="D96" s="74"/>
      <c r="E96" s="74"/>
      <c r="F96" s="74"/>
      <c r="G96" s="74"/>
      <c r="H96" s="38"/>
      <c r="O96" s="79"/>
      <c r="P96" s="130"/>
      <c r="Q96" s="132"/>
      <c r="R96" s="131"/>
      <c r="S96" s="134"/>
      <c r="T96" s="135"/>
      <c r="U96" s="131"/>
      <c r="V96" s="133"/>
      <c r="W96" s="133"/>
      <c r="X96" s="130"/>
      <c r="Y96" s="130"/>
      <c r="Z96" s="130"/>
      <c r="AA96" s="130"/>
      <c r="AB96" s="130"/>
      <c r="AC96" s="130"/>
      <c r="AD96" s="127"/>
      <c r="AE96" s="130"/>
      <c r="AF96" s="130"/>
      <c r="AG96" s="47"/>
      <c r="AI96" s="79"/>
      <c r="AJ96"/>
    </row>
    <row r="97" spans="1:36" s="78" customFormat="1" ht="15.75" x14ac:dyDescent="0.25">
      <c r="A97"/>
      <c r="B97"/>
      <c r="C97" s="74"/>
      <c r="D97" s="74"/>
      <c r="E97" s="74"/>
      <c r="F97" s="74"/>
      <c r="G97" s="74"/>
      <c r="H97" s="38" t="s">
        <v>415</v>
      </c>
      <c r="O97" s="79"/>
      <c r="P97" s="130"/>
      <c r="Q97" s="132"/>
      <c r="R97" s="140">
        <f>R84-R92</f>
        <v>4127</v>
      </c>
      <c r="S97" s="134"/>
      <c r="T97" s="135"/>
      <c r="U97" s="131"/>
      <c r="V97" s="133"/>
      <c r="W97" s="133"/>
      <c r="X97" s="130"/>
      <c r="Y97" s="130"/>
      <c r="Z97" s="130"/>
      <c r="AA97" s="130"/>
      <c r="AB97" s="130"/>
      <c r="AC97" s="130"/>
      <c r="AD97" s="127"/>
      <c r="AE97" s="130"/>
      <c r="AF97" s="130"/>
      <c r="AG97" s="47"/>
      <c r="AI97" s="79"/>
      <c r="AJ97"/>
    </row>
    <row r="98" spans="1:36" s="78" customFormat="1" ht="15.75" x14ac:dyDescent="0.25">
      <c r="A98"/>
      <c r="B98"/>
      <c r="C98" s="74"/>
      <c r="D98" s="74"/>
      <c r="E98" s="74"/>
      <c r="F98" s="74"/>
      <c r="G98" s="74"/>
      <c r="H98" s="38" t="s">
        <v>416</v>
      </c>
      <c r="O98" s="79"/>
      <c r="P98" s="130"/>
      <c r="Q98" s="132"/>
      <c r="R98" s="131">
        <f>R85*0.1</f>
        <v>24539.487342857145</v>
      </c>
      <c r="S98" s="131">
        <f>S85*0.1</f>
        <v>28123.852117857146</v>
      </c>
      <c r="T98" s="131">
        <f>T85*0.1</f>
        <v>35153.603477857148</v>
      </c>
      <c r="U98" s="131">
        <f>U85*0.1</f>
        <v>37877.609327857142</v>
      </c>
      <c r="V98" s="131">
        <f t="shared" ref="V98:AB98" si="23">V85*0.1</f>
        <v>44460.099457857141</v>
      </c>
      <c r="W98" s="131">
        <f>W85*0.1</f>
        <v>48899.89441785714</v>
      </c>
      <c r="X98" s="131">
        <f t="shared" si="23"/>
        <v>46609.959717857135</v>
      </c>
      <c r="Y98" s="131">
        <f t="shared" si="23"/>
        <v>48031.886800000007</v>
      </c>
      <c r="Z98" s="131">
        <f t="shared" si="23"/>
        <v>47006.840430000004</v>
      </c>
      <c r="AA98" s="131">
        <f t="shared" si="23"/>
        <v>54142.156279999996</v>
      </c>
      <c r="AB98" s="131">
        <f t="shared" si="23"/>
        <v>48250.101940000008</v>
      </c>
      <c r="AC98" s="131">
        <f>AC85*0.1+2995</f>
        <v>36904.511950000007</v>
      </c>
      <c r="AD98" s="127"/>
      <c r="AE98" s="130">
        <f>SUM(R98:AC98)</f>
        <v>500000.00326000003</v>
      </c>
      <c r="AF98" s="130"/>
      <c r="AG98" s="47"/>
      <c r="AI98" s="79"/>
      <c r="AJ98"/>
    </row>
    <row r="99" spans="1:36" ht="15.75" x14ac:dyDescent="0.25">
      <c r="G99" s="75"/>
      <c r="H99" s="38" t="s">
        <v>406</v>
      </c>
      <c r="I99" s="76"/>
      <c r="J99" s="76"/>
      <c r="K99" s="76"/>
      <c r="L99" s="76"/>
      <c r="M99" s="76"/>
      <c r="N99" s="76"/>
      <c r="O99" s="77"/>
      <c r="P99" s="125"/>
      <c r="Q99" s="126"/>
      <c r="R99" s="128">
        <f>R97-R98</f>
        <v>-20412.487342857145</v>
      </c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7"/>
      <c r="AE99" s="125"/>
      <c r="AF99" s="125"/>
      <c r="AG99" s="47"/>
      <c r="AH99" s="76"/>
      <c r="AI99" s="77"/>
      <c r="AJ99" s="90"/>
    </row>
    <row r="100" spans="1:36" s="78" customFormat="1" ht="15.75" x14ac:dyDescent="0.25">
      <c r="A100"/>
      <c r="B100"/>
      <c r="C100" s="74"/>
      <c r="D100" s="74"/>
      <c r="E100" s="74"/>
      <c r="F100" s="74"/>
      <c r="G100" s="74"/>
      <c r="H100" s="38"/>
      <c r="O100" s="79"/>
      <c r="P100" s="130"/>
      <c r="Q100" s="132"/>
      <c r="R100" s="131"/>
      <c r="S100" s="134"/>
      <c r="T100" s="135"/>
      <c r="U100" s="131"/>
      <c r="V100" s="133"/>
      <c r="W100" s="133"/>
      <c r="X100" s="130"/>
      <c r="Y100" s="130"/>
      <c r="Z100" s="130"/>
      <c r="AA100" s="130"/>
      <c r="AB100" s="130"/>
      <c r="AC100" s="130"/>
      <c r="AD100" s="132"/>
      <c r="AE100" s="130"/>
      <c r="AF100" s="130"/>
      <c r="AG100" s="47"/>
      <c r="AI100" s="79"/>
      <c r="AJ100"/>
    </row>
    <row r="101" spans="1:36" s="78" customFormat="1" ht="15.75" x14ac:dyDescent="0.25">
      <c r="A101"/>
      <c r="B101"/>
      <c r="C101" s="74"/>
      <c r="D101" s="74"/>
      <c r="E101" s="74"/>
      <c r="F101" s="74"/>
      <c r="G101" s="74"/>
      <c r="H101" s="38"/>
      <c r="O101" s="79"/>
      <c r="Q101" s="79"/>
      <c r="R101" s="80"/>
      <c r="S101" s="3"/>
      <c r="T101" s="8"/>
      <c r="U101" s="80"/>
      <c r="V101" s="81"/>
      <c r="W101" s="81"/>
      <c r="AD101" s="79"/>
      <c r="AG101" s="47"/>
      <c r="AI101" s="79"/>
      <c r="AJ101"/>
    </row>
    <row r="102" spans="1:36" s="78" customFormat="1" ht="15.75" x14ac:dyDescent="0.25">
      <c r="A102"/>
      <c r="B102"/>
      <c r="C102" s="74"/>
      <c r="D102" s="74"/>
      <c r="E102" s="74"/>
      <c r="F102" s="74"/>
      <c r="G102" s="74"/>
      <c r="H102" s="38"/>
      <c r="O102" s="79"/>
      <c r="Q102" s="79"/>
      <c r="R102" s="80"/>
      <c r="S102" s="3"/>
      <c r="T102" s="8"/>
      <c r="U102" s="80"/>
      <c r="V102" s="81"/>
      <c r="W102" s="81"/>
      <c r="AD102" s="79"/>
      <c r="AG102" s="47"/>
      <c r="AI102" s="79"/>
      <c r="AJ102"/>
    </row>
    <row r="103" spans="1:36" s="78" customFormat="1" ht="15.75" x14ac:dyDescent="0.25">
      <c r="A103"/>
      <c r="B103"/>
      <c r="C103" s="74"/>
      <c r="D103" s="74"/>
      <c r="E103" s="74"/>
      <c r="F103" s="74"/>
      <c r="G103" s="74"/>
      <c r="H103" s="38"/>
      <c r="O103" s="79"/>
      <c r="Q103" s="79"/>
      <c r="R103" s="80"/>
      <c r="S103" s="3"/>
      <c r="T103" s="8"/>
      <c r="U103" s="80"/>
      <c r="V103" s="81"/>
      <c r="W103" s="81"/>
      <c r="AD103" s="79"/>
      <c r="AG103" s="47"/>
      <c r="AI103" s="79"/>
      <c r="AJ103"/>
    </row>
    <row r="104" spans="1:36" s="78" customFormat="1" ht="15.75" x14ac:dyDescent="0.25">
      <c r="A104"/>
      <c r="B104"/>
      <c r="C104" s="74"/>
      <c r="D104" s="74"/>
      <c r="E104" s="74"/>
      <c r="F104" s="74"/>
      <c r="G104" s="74"/>
      <c r="H104" s="38"/>
      <c r="O104" s="79"/>
      <c r="Q104" s="79"/>
      <c r="R104" s="80"/>
      <c r="S104" s="3"/>
      <c r="T104" s="8"/>
      <c r="U104" s="80"/>
      <c r="V104" s="81"/>
      <c r="W104" s="81"/>
      <c r="AD104" s="79"/>
      <c r="AG104" s="47"/>
      <c r="AI104" s="79"/>
      <c r="AJ104"/>
    </row>
    <row r="105" spans="1:36" s="78" customFormat="1" ht="15.75" x14ac:dyDescent="0.25">
      <c r="A105"/>
      <c r="B105"/>
      <c r="C105" s="74"/>
      <c r="D105" s="74"/>
      <c r="E105" s="74"/>
      <c r="F105" s="74"/>
      <c r="G105" s="74"/>
      <c r="H105" s="38"/>
      <c r="O105" s="79"/>
      <c r="Q105" s="79"/>
      <c r="R105" s="80"/>
      <c r="S105" s="3"/>
      <c r="T105" s="8"/>
      <c r="U105" s="80"/>
      <c r="V105" s="81"/>
      <c r="W105" s="81"/>
      <c r="AD105" s="79"/>
      <c r="AG105" s="47"/>
      <c r="AI105" s="79"/>
      <c r="AJ105"/>
    </row>
    <row r="106" spans="1:36" s="78" customFormat="1" ht="15.75" x14ac:dyDescent="0.25">
      <c r="A106"/>
      <c r="B106"/>
      <c r="C106" s="74"/>
      <c r="D106" s="74"/>
      <c r="E106" s="74"/>
      <c r="F106" s="74"/>
      <c r="G106" s="74"/>
      <c r="H106" s="38"/>
      <c r="O106" s="79"/>
      <c r="Q106" s="79"/>
      <c r="R106" s="80"/>
      <c r="S106" s="3"/>
      <c r="T106" s="8"/>
      <c r="U106" s="80"/>
      <c r="V106" s="81"/>
      <c r="W106" s="81"/>
      <c r="AD106" s="79"/>
      <c r="AG106" s="79"/>
      <c r="AI106" s="79"/>
      <c r="AJ106"/>
    </row>
    <row r="107" spans="1:36" s="78" customFormat="1" x14ac:dyDescent="0.25">
      <c r="A107"/>
      <c r="B107"/>
      <c r="C107" s="74"/>
      <c r="D107" s="74"/>
      <c r="E107" s="74"/>
      <c r="F107" s="74"/>
      <c r="G107" s="74"/>
      <c r="H107" s="38"/>
      <c r="O107" s="79"/>
      <c r="Q107" s="79"/>
      <c r="R107" s="80"/>
      <c r="S107" s="80"/>
      <c r="T107" s="80"/>
      <c r="U107" s="80"/>
      <c r="V107" s="81"/>
      <c r="W107" s="81"/>
      <c r="AD107" s="79"/>
      <c r="AG107" s="79"/>
      <c r="AI107" s="79"/>
      <c r="AJ107"/>
    </row>
  </sheetData>
  <sheetProtection algorithmName="SHA-512" hashValue="05E+yYc0y/UYqRzXnRqJvOBRfxOBY1HIymsGKXPsf2w0lqGxVF7KCdY7fDwcSOVHAZbOczHELoit2ZntKMfubA==" saltValue="ViDfm6n/BklAsDKQ4b58Pg==" spinCount="100000" sheet="1" objects="1" scenarios="1"/>
  <mergeCells count="1">
    <mergeCell ref="R1:AC1"/>
  </mergeCells>
  <conditionalFormatting sqref="AH20:AH22 AH24:AH31 AH33:AH37 AH4:AH17 AH46:AH62 AH64:AH76">
    <cfRule type="cellIs" dxfId="2351" priority="74" operator="lessThan">
      <formula>I4</formula>
    </cfRule>
    <cfRule type="cellIs" dxfId="2350" priority="75" operator="greaterThan">
      <formula>I4</formula>
    </cfRule>
    <cfRule type="cellIs" dxfId="2349" priority="76" operator="equal">
      <formula>I4</formula>
    </cfRule>
  </conditionalFormatting>
  <conditionalFormatting sqref="AH32">
    <cfRule type="cellIs" dxfId="2348" priority="70" operator="greaterThan">
      <formula>$I$32</formula>
    </cfRule>
    <cfRule type="cellIs" dxfId="2347" priority="71" operator="lessThan">
      <formula>$I$32</formula>
    </cfRule>
    <cfRule type="cellIs" dxfId="2346" priority="72" operator="equal">
      <formula>$I$32</formula>
    </cfRule>
    <cfRule type="cellIs" dxfId="2345" priority="73" operator="equal">
      <formula>$P$32</formula>
    </cfRule>
  </conditionalFormatting>
  <conditionalFormatting sqref="E26:E37 E1:E24 E45:E46 E91:E93 E95:E98 E100:E1048576 E49:E85">
    <cfRule type="cellIs" dxfId="2344" priority="68" operator="equal">
      <formula>"no"</formula>
    </cfRule>
    <cfRule type="cellIs" dxfId="2343" priority="69" operator="equal">
      <formula>"yes"</formula>
    </cfRule>
  </conditionalFormatting>
  <conditionalFormatting sqref="E25">
    <cfRule type="cellIs" dxfId="2342" priority="66" operator="equal">
      <formula>"no"</formula>
    </cfRule>
    <cfRule type="cellIs" dxfId="2341" priority="67" operator="equal">
      <formula>"yes"</formula>
    </cfRule>
  </conditionalFormatting>
  <conditionalFormatting sqref="E47">
    <cfRule type="cellIs" dxfId="2340" priority="64" operator="equal">
      <formula>"no"</formula>
    </cfRule>
    <cfRule type="cellIs" dxfId="2339" priority="65" operator="equal">
      <formula>"yes"</formula>
    </cfRule>
  </conditionalFormatting>
  <conditionalFormatting sqref="E48">
    <cfRule type="cellIs" dxfId="2338" priority="62" operator="equal">
      <formula>"no"</formula>
    </cfRule>
    <cfRule type="cellIs" dxfId="2337" priority="63" operator="equal">
      <formula>"yes"</formula>
    </cfRule>
  </conditionalFormatting>
  <conditionalFormatting sqref="I12 I64:I73 I14:I16 I46:I61">
    <cfRule type="cellIs" dxfId="2336" priority="61" operator="equal">
      <formula>0</formula>
    </cfRule>
  </conditionalFormatting>
  <conditionalFormatting sqref="I4:I16">
    <cfRule type="cellIs" dxfId="2335" priority="59" operator="equal">
      <formula>0</formula>
    </cfRule>
  </conditionalFormatting>
  <conditionalFormatting sqref="I19:I21">
    <cfRule type="cellIs" dxfId="2334" priority="58" operator="equal">
      <formula>0</formula>
    </cfRule>
  </conditionalFormatting>
  <conditionalFormatting sqref="AH19">
    <cfRule type="cellIs" dxfId="2333" priority="55" operator="lessThan">
      <formula>I19</formula>
    </cfRule>
    <cfRule type="cellIs" dxfId="2332" priority="56" operator="greaterThan">
      <formula>I19</formula>
    </cfRule>
    <cfRule type="cellIs" dxfId="2331" priority="57" operator="equal">
      <formula>I19</formula>
    </cfRule>
  </conditionalFormatting>
  <conditionalFormatting sqref="AH43">
    <cfRule type="cellIs" dxfId="2330" priority="52" operator="lessThan">
      <formula>I43</formula>
    </cfRule>
    <cfRule type="cellIs" dxfId="2329" priority="53" operator="greaterThan">
      <formula>I43</formula>
    </cfRule>
    <cfRule type="cellIs" dxfId="2328" priority="54" operator="equal">
      <formula>I43</formula>
    </cfRule>
  </conditionalFormatting>
  <conditionalFormatting sqref="E42:E43">
    <cfRule type="cellIs" dxfId="2327" priority="50" operator="equal">
      <formula>"no"</formula>
    </cfRule>
    <cfRule type="cellIs" dxfId="2326" priority="51" operator="equal">
      <formula>"yes"</formula>
    </cfRule>
  </conditionalFormatting>
  <conditionalFormatting sqref="AH44">
    <cfRule type="cellIs" dxfId="2325" priority="47" operator="lessThan">
      <formula>I44</formula>
    </cfRule>
    <cfRule type="cellIs" dxfId="2324" priority="48" operator="greaterThan">
      <formula>I44</formula>
    </cfRule>
    <cfRule type="cellIs" dxfId="2323" priority="49" operator="equal">
      <formula>I44</formula>
    </cfRule>
  </conditionalFormatting>
  <conditionalFormatting sqref="E44">
    <cfRule type="cellIs" dxfId="2322" priority="45" operator="equal">
      <formula>"no"</formula>
    </cfRule>
    <cfRule type="cellIs" dxfId="2321" priority="46" operator="equal">
      <formula>"yes"</formula>
    </cfRule>
  </conditionalFormatting>
  <conditionalFormatting sqref="AH39">
    <cfRule type="cellIs" dxfId="2320" priority="42" operator="lessThan">
      <formula>I39</formula>
    </cfRule>
    <cfRule type="cellIs" dxfId="2319" priority="43" operator="greaterThan">
      <formula>I39</formula>
    </cfRule>
    <cfRule type="cellIs" dxfId="2318" priority="44" operator="equal">
      <formula>I39</formula>
    </cfRule>
  </conditionalFormatting>
  <conditionalFormatting sqref="E38:E39">
    <cfRule type="cellIs" dxfId="2317" priority="40" operator="equal">
      <formula>"no"</formula>
    </cfRule>
    <cfRule type="cellIs" dxfId="2316" priority="41" operator="equal">
      <formula>"yes"</formula>
    </cfRule>
  </conditionalFormatting>
  <conditionalFormatting sqref="AH40">
    <cfRule type="cellIs" dxfId="2315" priority="37" operator="lessThan">
      <formula>I40</formula>
    </cfRule>
    <cfRule type="cellIs" dxfId="2314" priority="38" operator="greaterThan">
      <formula>I40</formula>
    </cfRule>
    <cfRule type="cellIs" dxfId="2313" priority="39" operator="equal">
      <formula>I40</formula>
    </cfRule>
  </conditionalFormatting>
  <conditionalFormatting sqref="E40">
    <cfRule type="cellIs" dxfId="2312" priority="35" operator="equal">
      <formula>"no"</formula>
    </cfRule>
    <cfRule type="cellIs" dxfId="2311" priority="36" operator="equal">
      <formula>"yes"</formula>
    </cfRule>
  </conditionalFormatting>
  <conditionalFormatting sqref="AH41">
    <cfRule type="cellIs" dxfId="2310" priority="32" operator="lessThan">
      <formula>I41</formula>
    </cfRule>
    <cfRule type="cellIs" dxfId="2309" priority="33" operator="greaterThan">
      <formula>I41</formula>
    </cfRule>
    <cfRule type="cellIs" dxfId="2308" priority="34" operator="equal">
      <formula>I41</formula>
    </cfRule>
  </conditionalFormatting>
  <conditionalFormatting sqref="E41">
    <cfRule type="cellIs" dxfId="2307" priority="30" operator="equal">
      <formula>"no"</formula>
    </cfRule>
    <cfRule type="cellIs" dxfId="2306" priority="31" operator="equal">
      <formula>"yes"</formula>
    </cfRule>
  </conditionalFormatting>
  <conditionalFormatting sqref="D91:D93 D95:D98 D100:D1048576 D1:D85">
    <cfRule type="cellIs" dxfId="2305" priority="29" operator="equal">
      <formula>"TBD"</formula>
    </cfRule>
  </conditionalFormatting>
  <conditionalFormatting sqref="R78:AC78">
    <cfRule type="cellIs" dxfId="2304" priority="6" operator="equal">
      <formula>0</formula>
    </cfRule>
    <cfRule type="cellIs" dxfId="2303" priority="27" operator="lessThan">
      <formula>0</formula>
    </cfRule>
    <cfRule type="cellIs" dxfId="2302" priority="28" operator="greaterThan">
      <formula>0</formula>
    </cfRule>
  </conditionalFormatting>
  <conditionalFormatting sqref="E86:E90">
    <cfRule type="cellIs" dxfId="2301" priority="25" operator="equal">
      <formula>"no"</formula>
    </cfRule>
    <cfRule type="cellIs" dxfId="2300" priority="26" operator="equal">
      <formula>"yes"</formula>
    </cfRule>
  </conditionalFormatting>
  <conditionalFormatting sqref="D86:D90">
    <cfRule type="cellIs" dxfId="2299" priority="24" operator="equal">
      <formula>"TBD"</formula>
    </cfRule>
  </conditionalFormatting>
  <conditionalFormatting sqref="R86:AC87">
    <cfRule type="cellIs" dxfId="2298" priority="22" operator="lessThan">
      <formula>0</formula>
    </cfRule>
    <cfRule type="cellIs" dxfId="2297" priority="23" operator="greaterThan">
      <formula>0</formula>
    </cfRule>
  </conditionalFormatting>
  <conditionalFormatting sqref="E94">
    <cfRule type="cellIs" dxfId="2296" priority="20" operator="equal">
      <formula>"no"</formula>
    </cfRule>
    <cfRule type="cellIs" dxfId="2295" priority="21" operator="equal">
      <formula>"yes"</formula>
    </cfRule>
  </conditionalFormatting>
  <conditionalFormatting sqref="D94">
    <cfRule type="cellIs" dxfId="2294" priority="19" operator="equal">
      <formula>"TBD"</formula>
    </cfRule>
  </conditionalFormatting>
  <conditionalFormatting sqref="R94:AC94">
    <cfRule type="cellIs" dxfId="2293" priority="17" operator="lessThan">
      <formula>0</formula>
    </cfRule>
    <cfRule type="cellIs" dxfId="2292" priority="18" operator="greaterThan">
      <formula>0</formula>
    </cfRule>
  </conditionalFormatting>
  <conditionalFormatting sqref="E99">
    <cfRule type="cellIs" dxfId="2291" priority="15" operator="equal">
      <formula>"no"</formula>
    </cfRule>
    <cfRule type="cellIs" dxfId="2290" priority="16" operator="equal">
      <formula>"yes"</formula>
    </cfRule>
  </conditionalFormatting>
  <conditionalFormatting sqref="D99">
    <cfRule type="cellIs" dxfId="2289" priority="14" operator="equal">
      <formula>"TBD"</formula>
    </cfRule>
  </conditionalFormatting>
  <conditionalFormatting sqref="R99:AC99">
    <cfRule type="cellIs" dxfId="2288" priority="12" operator="lessThan">
      <formula>0</formula>
    </cfRule>
    <cfRule type="cellIs" dxfId="2287" priority="13" operator="greaterThan">
      <formula>0</formula>
    </cfRule>
  </conditionalFormatting>
  <conditionalFormatting sqref="P78">
    <cfRule type="cellIs" dxfId="2286" priority="10" operator="lessThan">
      <formula>0</formula>
    </cfRule>
    <cfRule type="cellIs" dxfId="2285" priority="11" operator="greaterThan">
      <formula>0</formula>
    </cfRule>
  </conditionalFormatting>
  <conditionalFormatting sqref="R82">
    <cfRule type="cellIs" dxfId="2284" priority="7" operator="equal">
      <formula>0</formula>
    </cfRule>
    <cfRule type="cellIs" dxfId="2283" priority="8" operator="lessThan">
      <formula>0</formula>
    </cfRule>
    <cfRule type="cellIs" dxfId="2282" priority="9" operator="greaterThan">
      <formula>0</formula>
    </cfRule>
  </conditionalFormatting>
  <conditionalFormatting sqref="R90">
    <cfRule type="cellIs" dxfId="2281" priority="1" operator="lessThan">
      <formula>0</formula>
    </cfRule>
    <cfRule type="cellIs" dxfId="2280" priority="2" operator="equal">
      <formula>0</formula>
    </cfRule>
    <cfRule type="cellIs" dxfId="2279" priority="3" operator="greaterThan">
      <formula>0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41F5-0225-4614-8930-9C3554EF4AB8}">
  <dimension ref="A1:AJ130"/>
  <sheetViews>
    <sheetView zoomScale="67" zoomScaleNormal="67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R99" sqref="R99:T99"/>
    </sheetView>
  </sheetViews>
  <sheetFormatPr defaultRowHeight="15" x14ac:dyDescent="0.25"/>
  <cols>
    <col min="1" max="1" width="12.42578125" customWidth="1"/>
    <col min="2" max="2" width="43.5703125" bestFit="1" customWidth="1"/>
    <col min="3" max="3" width="5.5703125" style="74" customWidth="1"/>
    <col min="4" max="5" width="11.5703125" style="74" customWidth="1"/>
    <col min="6" max="6" width="13.5703125" style="74" customWidth="1"/>
    <col min="7" max="7" width="12.5703125" style="74" customWidth="1"/>
    <col min="8" max="8" width="14.5703125" style="38" customWidth="1"/>
    <col min="9" max="9" width="18.5703125" style="78" customWidth="1"/>
    <col min="10" max="14" width="15.5703125" style="78" hidden="1" customWidth="1"/>
    <col min="15" max="15" width="4" style="79" customWidth="1"/>
    <col min="16" max="16" width="17.42578125" style="130" bestFit="1" customWidth="1"/>
    <col min="17" max="17" width="3.42578125" style="79" customWidth="1"/>
    <col min="18" max="20" width="19.5703125" style="78" customWidth="1"/>
    <col min="21" max="23" width="19.5703125" style="81" customWidth="1"/>
    <col min="24" max="24" width="19.5703125" style="78" customWidth="1"/>
    <col min="25" max="27" width="19.5703125" style="78" hidden="1" customWidth="1"/>
    <col min="28" max="29" width="19.5703125" style="78" customWidth="1"/>
    <col min="30" max="30" width="4" style="79" customWidth="1"/>
    <col min="31" max="31" width="18.42578125" style="78" customWidth="1"/>
    <col min="32" max="32" width="16.5703125" style="78" customWidth="1"/>
    <col min="33" max="33" width="3.42578125" style="79" customWidth="1"/>
    <col min="34" max="34" width="17.42578125" style="78" customWidth="1"/>
    <col min="35" max="35" width="3.42578125" style="79" customWidth="1"/>
    <col min="36" max="36" width="16" customWidth="1"/>
  </cols>
  <sheetData>
    <row r="1" spans="1:36" s="36" customFormat="1" x14ac:dyDescent="0.25">
      <c r="C1" s="37"/>
      <c r="D1" s="37"/>
      <c r="E1" s="37"/>
      <c r="F1" s="37"/>
      <c r="G1" s="37"/>
      <c r="H1" s="38"/>
      <c r="I1" s="39"/>
      <c r="J1" s="39"/>
      <c r="K1" s="39"/>
      <c r="L1" s="39"/>
      <c r="M1" s="39"/>
      <c r="N1" s="39"/>
      <c r="O1" s="40"/>
      <c r="P1" s="188">
        <v>2020</v>
      </c>
      <c r="Q1" s="42"/>
      <c r="R1" s="526">
        <v>2021</v>
      </c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8"/>
      <c r="AD1" s="40"/>
      <c r="AE1" s="41">
        <v>2022</v>
      </c>
      <c r="AF1" s="43">
        <v>2023</v>
      </c>
      <c r="AG1" s="42"/>
      <c r="AH1" s="41"/>
      <c r="AI1" s="42"/>
    </row>
    <row r="2" spans="1:36" s="36" customFormat="1" ht="31.5" x14ac:dyDescent="0.25">
      <c r="A2" s="62"/>
      <c r="B2" s="63"/>
      <c r="C2" s="44" t="s">
        <v>342</v>
      </c>
      <c r="D2" s="44" t="s">
        <v>343</v>
      </c>
      <c r="E2" s="44" t="s">
        <v>344</v>
      </c>
      <c r="F2" s="44" t="s">
        <v>345</v>
      </c>
      <c r="G2" s="44" t="s">
        <v>346</v>
      </c>
      <c r="H2" s="45" t="s">
        <v>347</v>
      </c>
      <c r="I2" s="46" t="s">
        <v>348</v>
      </c>
      <c r="J2" s="46" t="s">
        <v>349</v>
      </c>
      <c r="K2" s="82" t="s">
        <v>350</v>
      </c>
      <c r="L2" s="82" t="s">
        <v>351</v>
      </c>
      <c r="M2" s="82" t="s">
        <v>350</v>
      </c>
      <c r="N2" s="82"/>
      <c r="O2" s="47"/>
      <c r="P2" s="129" t="s">
        <v>352</v>
      </c>
      <c r="Q2" s="47"/>
      <c r="R2" s="46" t="s">
        <v>353</v>
      </c>
      <c r="S2" s="46" t="s">
        <v>354</v>
      </c>
      <c r="T2" s="46" t="s">
        <v>355</v>
      </c>
      <c r="U2" s="48" t="s">
        <v>356</v>
      </c>
      <c r="V2" s="48" t="s">
        <v>357</v>
      </c>
      <c r="W2" s="46" t="s">
        <v>358</v>
      </c>
      <c r="X2" s="46" t="s">
        <v>359</v>
      </c>
      <c r="Y2" s="48" t="s">
        <v>360</v>
      </c>
      <c r="Z2" s="46" t="s">
        <v>361</v>
      </c>
      <c r="AA2" s="46" t="s">
        <v>362</v>
      </c>
      <c r="AB2" s="48" t="s">
        <v>363</v>
      </c>
      <c r="AC2" s="46" t="s">
        <v>364</v>
      </c>
      <c r="AD2" s="47"/>
      <c r="AE2" s="46" t="s">
        <v>352</v>
      </c>
      <c r="AF2" s="48" t="s">
        <v>352</v>
      </c>
      <c r="AG2" s="47"/>
      <c r="AH2" s="46" t="s">
        <v>365</v>
      </c>
      <c r="AI2" s="47"/>
      <c r="AJ2" s="49" t="s">
        <v>366</v>
      </c>
    </row>
    <row r="3" spans="1:36" s="36" customFormat="1" ht="15.75" x14ac:dyDescent="0.25">
      <c r="A3" s="106" t="s">
        <v>400</v>
      </c>
      <c r="B3" s="107"/>
      <c r="C3" s="101" t="s">
        <v>368</v>
      </c>
      <c r="D3" s="102"/>
      <c r="E3" s="102"/>
      <c r="F3" s="102"/>
      <c r="G3" s="102"/>
      <c r="H3" s="84"/>
      <c r="I3" s="103"/>
      <c r="J3" s="103"/>
      <c r="K3" s="103"/>
      <c r="L3" s="103"/>
      <c r="M3" s="103"/>
      <c r="N3" s="103"/>
      <c r="O3" s="47"/>
      <c r="P3" s="85"/>
      <c r="Q3" s="47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47"/>
      <c r="AE3" s="103"/>
      <c r="AF3" s="103"/>
      <c r="AG3" s="47"/>
      <c r="AH3" s="103"/>
      <c r="AI3" s="51"/>
    </row>
    <row r="4" spans="1:36" s="36" customFormat="1" ht="15.75" x14ac:dyDescent="0.25">
      <c r="A4" s="104" t="s">
        <v>288</v>
      </c>
      <c r="B4" s="105" t="s">
        <v>289</v>
      </c>
      <c r="C4" s="52" t="s">
        <v>368</v>
      </c>
      <c r="D4" s="52" t="s">
        <v>369</v>
      </c>
      <c r="E4" s="52" t="s">
        <v>370</v>
      </c>
      <c r="F4" s="87" t="e">
        <f>#REF!</f>
        <v>#REF!</v>
      </c>
      <c r="G4" s="87" t="e">
        <f>#REF!</f>
        <v>#REF!</v>
      </c>
      <c r="H4" s="88" t="e">
        <f t="shared" ref="H4:H12" si="0">((G4-F4)/7)/4.3</f>
        <v>#REF!</v>
      </c>
      <c r="I4" s="181">
        <v>845876</v>
      </c>
      <c r="J4" s="53"/>
      <c r="K4" s="53"/>
      <c r="L4" s="53"/>
      <c r="M4" s="53"/>
      <c r="N4" s="53"/>
      <c r="O4" s="47"/>
      <c r="P4" s="115">
        <v>628337</v>
      </c>
      <c r="Q4" s="47"/>
      <c r="R4" s="115">
        <v>137155</v>
      </c>
      <c r="S4" s="177">
        <v>19492</v>
      </c>
      <c r="T4" s="54">
        <v>60892</v>
      </c>
      <c r="U4" s="53"/>
      <c r="V4" s="53"/>
      <c r="W4" s="53"/>
      <c r="X4" s="53"/>
      <c r="Y4" s="53"/>
      <c r="Z4" s="53"/>
      <c r="AA4" s="53"/>
      <c r="AB4" s="53"/>
      <c r="AC4" s="53"/>
      <c r="AD4" s="47"/>
      <c r="AE4" s="53"/>
      <c r="AF4" s="53"/>
      <c r="AG4" s="47"/>
      <c r="AH4" s="53">
        <f>SUM(P4:AG4)</f>
        <v>845876</v>
      </c>
      <c r="AI4" s="51"/>
      <c r="AJ4" s="55">
        <f>I4-AH4</f>
        <v>0</v>
      </c>
    </row>
    <row r="5" spans="1:36" s="36" customFormat="1" ht="15.75" x14ac:dyDescent="0.25">
      <c r="A5" s="56" t="s">
        <v>292</v>
      </c>
      <c r="B5" s="57" t="s">
        <v>293</v>
      </c>
      <c r="C5" s="52" t="s">
        <v>368</v>
      </c>
      <c r="D5" s="52" t="s">
        <v>369</v>
      </c>
      <c r="E5" s="52" t="s">
        <v>370</v>
      </c>
      <c r="F5" s="87" t="e">
        <f>#REF!</f>
        <v>#REF!</v>
      </c>
      <c r="G5" s="87" t="e">
        <f>#REF!</f>
        <v>#REF!</v>
      </c>
      <c r="H5" s="88" t="e">
        <f t="shared" si="0"/>
        <v>#REF!</v>
      </c>
      <c r="I5" s="181">
        <v>297313</v>
      </c>
      <c r="J5" s="53"/>
      <c r="K5" s="53"/>
      <c r="L5" s="53"/>
      <c r="M5" s="53"/>
      <c r="N5" s="53"/>
      <c r="O5" s="47"/>
      <c r="P5" s="115">
        <v>162612</v>
      </c>
      <c r="Q5" s="47"/>
      <c r="R5" s="115">
        <v>95646</v>
      </c>
      <c r="S5" s="177">
        <v>33342</v>
      </c>
      <c r="T5" s="53">
        <v>5713</v>
      </c>
      <c r="U5" s="53"/>
      <c r="V5" s="53"/>
      <c r="W5" s="53"/>
      <c r="X5" s="53"/>
      <c r="Y5" s="53"/>
      <c r="Z5" s="53"/>
      <c r="AA5" s="53"/>
      <c r="AB5" s="53"/>
      <c r="AC5" s="53"/>
      <c r="AD5" s="47"/>
      <c r="AE5" s="53"/>
      <c r="AF5" s="53"/>
      <c r="AG5" s="47"/>
      <c r="AH5" s="53">
        <f t="shared" ref="AH5:AH11" si="1">SUM(P5:AG5)</f>
        <v>297313</v>
      </c>
      <c r="AI5" s="51"/>
      <c r="AJ5" s="55">
        <f t="shared" ref="AJ5:AJ60" si="2">I5-AH5</f>
        <v>0</v>
      </c>
    </row>
    <row r="6" spans="1:36" s="36" customFormat="1" ht="15.75" x14ac:dyDescent="0.25">
      <c r="A6" s="56" t="s">
        <v>295</v>
      </c>
      <c r="B6" s="57" t="s">
        <v>296</v>
      </c>
      <c r="C6" s="52" t="s">
        <v>368</v>
      </c>
      <c r="D6" s="52" t="s">
        <v>369</v>
      </c>
      <c r="E6" s="52" t="s">
        <v>370</v>
      </c>
      <c r="F6" s="87" t="e">
        <f>#REF!</f>
        <v>#REF!</v>
      </c>
      <c r="G6" s="87" t="e">
        <f>#REF!</f>
        <v>#REF!</v>
      </c>
      <c r="H6" s="88" t="e">
        <f t="shared" si="0"/>
        <v>#REF!</v>
      </c>
      <c r="I6" s="181">
        <v>222517</v>
      </c>
      <c r="J6" s="53"/>
      <c r="K6" s="53"/>
      <c r="L6" s="53"/>
      <c r="M6" s="53"/>
      <c r="N6" s="53"/>
      <c r="O6" s="47"/>
      <c r="P6" s="115">
        <v>131745</v>
      </c>
      <c r="Q6" s="47"/>
      <c r="R6" s="115">
        <v>62828</v>
      </c>
      <c r="S6" s="177">
        <v>27944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47"/>
      <c r="AE6" s="53"/>
      <c r="AF6" s="53"/>
      <c r="AG6" s="47"/>
      <c r="AH6" s="53">
        <f t="shared" si="1"/>
        <v>222517</v>
      </c>
      <c r="AI6" s="51"/>
      <c r="AJ6" s="55">
        <f t="shared" si="2"/>
        <v>0</v>
      </c>
    </row>
    <row r="7" spans="1:36" s="36" customFormat="1" ht="15.75" x14ac:dyDescent="0.25">
      <c r="A7" s="56" t="s">
        <v>23</v>
      </c>
      <c r="B7" s="57" t="s">
        <v>25</v>
      </c>
      <c r="C7" s="52" t="s">
        <v>368</v>
      </c>
      <c r="D7" s="52" t="s">
        <v>369</v>
      </c>
      <c r="E7" s="52" t="s">
        <v>370</v>
      </c>
      <c r="F7" s="87">
        <v>44144</v>
      </c>
      <c r="G7" s="87">
        <v>44386</v>
      </c>
      <c r="H7" s="88">
        <f t="shared" si="0"/>
        <v>8.0398671096345513</v>
      </c>
      <c r="I7" s="181">
        <v>1207684</v>
      </c>
      <c r="J7" s="53"/>
      <c r="K7" s="53"/>
      <c r="L7" s="53"/>
      <c r="M7" s="53"/>
      <c r="N7" s="53"/>
      <c r="O7" s="47"/>
      <c r="P7" s="115">
        <v>244435</v>
      </c>
      <c r="Q7" s="47"/>
      <c r="R7" s="115">
        <v>181308</v>
      </c>
      <c r="S7" s="115">
        <v>16313</v>
      </c>
      <c r="T7" s="54">
        <v>150000</v>
      </c>
      <c r="U7" s="54">
        <v>150000</v>
      </c>
      <c r="V7" s="54">
        <v>160000</v>
      </c>
      <c r="W7" s="54">
        <v>160000</v>
      </c>
      <c r="X7" s="54">
        <v>145628</v>
      </c>
      <c r="Y7" s="53"/>
      <c r="Z7" s="53"/>
      <c r="AA7" s="53"/>
      <c r="AB7" s="53"/>
      <c r="AC7" s="53"/>
      <c r="AD7" s="47"/>
      <c r="AE7" s="53"/>
      <c r="AF7" s="53"/>
      <c r="AG7" s="47"/>
      <c r="AH7" s="53">
        <f t="shared" si="1"/>
        <v>1207684</v>
      </c>
      <c r="AI7" s="51"/>
      <c r="AJ7" s="55">
        <f t="shared" si="2"/>
        <v>0</v>
      </c>
    </row>
    <row r="8" spans="1:36" s="36" customFormat="1" ht="15.75" x14ac:dyDescent="0.25">
      <c r="A8" s="56" t="s">
        <v>31</v>
      </c>
      <c r="B8" s="57" t="s">
        <v>32</v>
      </c>
      <c r="C8" s="52" t="s">
        <v>368</v>
      </c>
      <c r="D8" s="52" t="s">
        <v>369</v>
      </c>
      <c r="E8" s="52" t="s">
        <v>370</v>
      </c>
      <c r="F8" s="87">
        <v>44144</v>
      </c>
      <c r="G8" s="87">
        <v>44386</v>
      </c>
      <c r="H8" s="88">
        <f t="shared" si="0"/>
        <v>8.0398671096345513</v>
      </c>
      <c r="I8" s="181">
        <v>267573</v>
      </c>
      <c r="J8" s="53"/>
      <c r="K8" s="53"/>
      <c r="L8" s="53"/>
      <c r="M8" s="53"/>
      <c r="N8" s="53"/>
      <c r="O8" s="47"/>
      <c r="P8" s="115">
        <v>46929</v>
      </c>
      <c r="Q8" s="47"/>
      <c r="R8" s="115">
        <v>38525</v>
      </c>
      <c r="S8" s="115"/>
      <c r="T8" s="54">
        <v>38525</v>
      </c>
      <c r="U8" s="54">
        <v>40000</v>
      </c>
      <c r="V8" s="54">
        <v>40000</v>
      </c>
      <c r="W8" s="54">
        <v>40000</v>
      </c>
      <c r="X8" s="54">
        <v>23594</v>
      </c>
      <c r="Y8" s="53"/>
      <c r="Z8" s="53"/>
      <c r="AA8" s="53"/>
      <c r="AB8" s="53"/>
      <c r="AC8" s="53"/>
      <c r="AD8" s="47"/>
      <c r="AE8" s="53"/>
      <c r="AF8" s="53"/>
      <c r="AG8" s="47"/>
      <c r="AH8" s="53">
        <f t="shared" si="1"/>
        <v>267573</v>
      </c>
      <c r="AI8" s="51"/>
      <c r="AJ8" s="55">
        <f t="shared" si="2"/>
        <v>0</v>
      </c>
    </row>
    <row r="9" spans="1:36" s="36" customFormat="1" ht="15.75" x14ac:dyDescent="0.25">
      <c r="A9" s="56" t="s">
        <v>33</v>
      </c>
      <c r="B9" s="57" t="s">
        <v>34</v>
      </c>
      <c r="C9" s="52" t="s">
        <v>368</v>
      </c>
      <c r="D9" s="52" t="s">
        <v>369</v>
      </c>
      <c r="E9" s="52" t="s">
        <v>370</v>
      </c>
      <c r="F9" s="87">
        <v>44144</v>
      </c>
      <c r="G9" s="87">
        <v>44386</v>
      </c>
      <c r="H9" s="88">
        <f t="shared" si="0"/>
        <v>8.0398671096345513</v>
      </c>
      <c r="I9" s="181">
        <v>230170</v>
      </c>
      <c r="J9" s="53"/>
      <c r="K9" s="53"/>
      <c r="L9" s="53"/>
      <c r="M9" s="53"/>
      <c r="N9" s="53"/>
      <c r="O9" s="47"/>
      <c r="P9" s="115">
        <v>34010</v>
      </c>
      <c r="Q9" s="47"/>
      <c r="R9" s="115">
        <v>31345</v>
      </c>
      <c r="S9" s="115"/>
      <c r="T9" s="54">
        <v>15000</v>
      </c>
      <c r="U9" s="54">
        <v>45000</v>
      </c>
      <c r="V9" s="54">
        <v>45000</v>
      </c>
      <c r="W9" s="54">
        <v>40000</v>
      </c>
      <c r="X9" s="54">
        <v>19815</v>
      </c>
      <c r="Y9" s="53"/>
      <c r="Z9" s="53"/>
      <c r="AA9" s="53"/>
      <c r="AB9" s="53"/>
      <c r="AC9" s="53"/>
      <c r="AD9" s="47"/>
      <c r="AE9" s="53"/>
      <c r="AF9" s="53"/>
      <c r="AG9" s="47"/>
      <c r="AH9" s="53">
        <f t="shared" si="1"/>
        <v>230170</v>
      </c>
      <c r="AI9" s="51"/>
      <c r="AJ9" s="55">
        <f t="shared" si="2"/>
        <v>0</v>
      </c>
    </row>
    <row r="10" spans="1:36" s="36" customFormat="1" ht="15.75" x14ac:dyDescent="0.25">
      <c r="A10" s="56" t="s">
        <v>35</v>
      </c>
      <c r="B10" s="57" t="s">
        <v>36</v>
      </c>
      <c r="C10" s="52" t="s">
        <v>368</v>
      </c>
      <c r="D10" s="52" t="s">
        <v>401</v>
      </c>
      <c r="E10" s="52" t="s">
        <v>370</v>
      </c>
      <c r="F10" s="87">
        <v>44241</v>
      </c>
      <c r="G10" s="87">
        <v>44439</v>
      </c>
      <c r="H10" s="88">
        <f t="shared" si="0"/>
        <v>6.5780730897009967</v>
      </c>
      <c r="I10" s="181">
        <v>984546</v>
      </c>
      <c r="J10" s="53"/>
      <c r="K10" s="53"/>
      <c r="L10" s="53"/>
      <c r="M10" s="53"/>
      <c r="N10" s="53"/>
      <c r="O10" s="47"/>
      <c r="P10" s="115">
        <v>230830</v>
      </c>
      <c r="Q10" s="47"/>
      <c r="R10" s="115">
        <v>155142</v>
      </c>
      <c r="S10" s="115">
        <v>20934</v>
      </c>
      <c r="T10" s="54">
        <v>100000</v>
      </c>
      <c r="U10" s="54">
        <v>125000</v>
      </c>
      <c r="V10" s="54">
        <v>125000</v>
      </c>
      <c r="W10" s="54">
        <v>100518</v>
      </c>
      <c r="X10" s="54">
        <v>81138</v>
      </c>
      <c r="Y10" s="54">
        <v>45984</v>
      </c>
      <c r="Z10" s="53"/>
      <c r="AA10" s="53"/>
      <c r="AB10" s="53"/>
      <c r="AC10" s="53"/>
      <c r="AD10" s="47"/>
      <c r="AE10" s="53"/>
      <c r="AF10" s="53"/>
      <c r="AG10" s="47"/>
      <c r="AH10" s="53">
        <f t="shared" si="1"/>
        <v>984546</v>
      </c>
      <c r="AI10" s="51"/>
      <c r="AJ10" s="55">
        <f t="shared" si="2"/>
        <v>0</v>
      </c>
    </row>
    <row r="11" spans="1:36" s="36" customFormat="1" ht="15.75" x14ac:dyDescent="0.25">
      <c r="A11" s="34" t="s">
        <v>41</v>
      </c>
      <c r="B11" s="35" t="s">
        <v>42</v>
      </c>
      <c r="C11" s="52" t="s">
        <v>368</v>
      </c>
      <c r="D11" s="52" t="s">
        <v>371</v>
      </c>
      <c r="E11" s="52" t="s">
        <v>370</v>
      </c>
      <c r="F11" s="87">
        <v>44256</v>
      </c>
      <c r="G11" s="87">
        <v>44406</v>
      </c>
      <c r="H11" s="88">
        <f t="shared" si="0"/>
        <v>4.9833887043189371</v>
      </c>
      <c r="I11" s="181">
        <v>723063</v>
      </c>
      <c r="J11" s="53"/>
      <c r="K11" s="53"/>
      <c r="L11" s="53"/>
      <c r="M11" s="53"/>
      <c r="N11" s="53"/>
      <c r="O11" s="47"/>
      <c r="P11" s="115"/>
      <c r="Q11" s="47"/>
      <c r="R11" s="115"/>
      <c r="S11" s="115"/>
      <c r="T11" s="54">
        <v>140000</v>
      </c>
      <c r="U11" s="54">
        <v>140000</v>
      </c>
      <c r="V11" s="54">
        <v>140000</v>
      </c>
      <c r="W11" s="54">
        <v>163063</v>
      </c>
      <c r="X11" s="54">
        <v>140000</v>
      </c>
      <c r="Y11" s="58"/>
      <c r="Z11" s="58"/>
      <c r="AA11" s="58"/>
      <c r="AB11" s="58"/>
      <c r="AC11" s="53"/>
      <c r="AD11" s="47"/>
      <c r="AE11" s="53"/>
      <c r="AF11" s="53"/>
      <c r="AG11" s="47"/>
      <c r="AH11" s="53">
        <f t="shared" si="1"/>
        <v>723063</v>
      </c>
      <c r="AI11" s="51"/>
      <c r="AJ11" s="55">
        <f t="shared" si="2"/>
        <v>0</v>
      </c>
    </row>
    <row r="12" spans="1:36" s="36" customFormat="1" ht="15.75" x14ac:dyDescent="0.25">
      <c r="A12" s="34" t="s">
        <v>47</v>
      </c>
      <c r="B12" s="35" t="s">
        <v>48</v>
      </c>
      <c r="C12" s="52" t="s">
        <v>368</v>
      </c>
      <c r="D12" s="52" t="s">
        <v>401</v>
      </c>
      <c r="E12" s="52" t="s">
        <v>370</v>
      </c>
      <c r="F12" s="87">
        <v>44228</v>
      </c>
      <c r="G12" s="87">
        <v>44286</v>
      </c>
      <c r="H12" s="88">
        <f t="shared" si="0"/>
        <v>1.9269102990033224</v>
      </c>
      <c r="I12" s="181">
        <v>81500</v>
      </c>
      <c r="J12" s="53"/>
      <c r="K12" s="53"/>
      <c r="L12" s="53"/>
      <c r="M12" s="53"/>
      <c r="N12" s="53"/>
      <c r="O12" s="47"/>
      <c r="P12" s="115"/>
      <c r="Q12" s="47"/>
      <c r="R12" s="115"/>
      <c r="S12" s="115"/>
      <c r="T12" s="54">
        <v>30000</v>
      </c>
      <c r="U12" s="54">
        <v>30000</v>
      </c>
      <c r="V12" s="54">
        <v>21500</v>
      </c>
      <c r="W12" s="58"/>
      <c r="X12" s="53"/>
      <c r="Y12" s="53"/>
      <c r="Z12" s="53"/>
      <c r="AA12" s="53"/>
      <c r="AB12" s="53"/>
      <c r="AC12" s="53"/>
      <c r="AD12" s="47"/>
      <c r="AE12" s="53"/>
      <c r="AF12" s="53"/>
      <c r="AG12" s="47"/>
      <c r="AH12" s="53">
        <f>SUM(P12:AG12)</f>
        <v>81500</v>
      </c>
      <c r="AI12" s="51"/>
      <c r="AJ12" s="55">
        <f t="shared" si="2"/>
        <v>0</v>
      </c>
    </row>
    <row r="13" spans="1:36" s="36" customFormat="1" ht="15.75" x14ac:dyDescent="0.25">
      <c r="A13" s="95"/>
      <c r="B13" s="95"/>
      <c r="C13" s="91"/>
      <c r="D13" s="91"/>
      <c r="E13" s="91"/>
      <c r="F13" s="91"/>
      <c r="G13" s="91"/>
      <c r="H13" s="92"/>
      <c r="I13" s="59">
        <f>SUM(I4:I12)</f>
        <v>4860242</v>
      </c>
      <c r="J13" s="59"/>
      <c r="K13" s="59"/>
      <c r="L13" s="59"/>
      <c r="M13" s="59"/>
      <c r="N13" s="59"/>
      <c r="O13" s="47"/>
      <c r="P13" s="59">
        <f>SUM(P4:P12)</f>
        <v>1478898</v>
      </c>
      <c r="Q13" s="47"/>
      <c r="R13" s="59">
        <f t="shared" ref="R13:AC13" si="3">SUM(R4:R12)</f>
        <v>701949</v>
      </c>
      <c r="S13" s="59">
        <f t="shared" si="3"/>
        <v>118025</v>
      </c>
      <c r="T13" s="59">
        <f t="shared" si="3"/>
        <v>540130</v>
      </c>
      <c r="U13" s="59">
        <f t="shared" si="3"/>
        <v>530000</v>
      </c>
      <c r="V13" s="59">
        <f t="shared" si="3"/>
        <v>531500</v>
      </c>
      <c r="W13" s="59">
        <f t="shared" si="3"/>
        <v>503581</v>
      </c>
      <c r="X13" s="59">
        <f t="shared" si="3"/>
        <v>410175</v>
      </c>
      <c r="Y13" s="59">
        <f t="shared" si="3"/>
        <v>45984</v>
      </c>
      <c r="Z13" s="59">
        <f t="shared" si="3"/>
        <v>0</v>
      </c>
      <c r="AA13" s="59">
        <f t="shared" si="3"/>
        <v>0</v>
      </c>
      <c r="AB13" s="59">
        <f t="shared" si="3"/>
        <v>0</v>
      </c>
      <c r="AC13" s="59">
        <f t="shared" si="3"/>
        <v>0</v>
      </c>
      <c r="AD13" s="47"/>
      <c r="AE13" s="59">
        <f>SUM(AE4:AE12)</f>
        <v>0</v>
      </c>
      <c r="AF13" s="59">
        <f>SUM(AF4:AF12)</f>
        <v>0</v>
      </c>
      <c r="AG13" s="47"/>
      <c r="AH13" s="59">
        <f>SUM(P13:AG13)</f>
        <v>4860242</v>
      </c>
      <c r="AI13" s="51"/>
      <c r="AJ13" s="55">
        <f t="shared" si="2"/>
        <v>0</v>
      </c>
    </row>
    <row r="14" spans="1:36" s="36" customFormat="1" ht="15.75" x14ac:dyDescent="0.25">
      <c r="A14" s="106" t="s">
        <v>52</v>
      </c>
      <c r="B14" s="107"/>
      <c r="C14" s="101" t="s">
        <v>373</v>
      </c>
      <c r="D14" s="102"/>
      <c r="E14" s="102"/>
      <c r="F14" s="102"/>
      <c r="G14" s="102"/>
      <c r="H14" s="84"/>
      <c r="I14" s="103"/>
      <c r="J14" s="103"/>
      <c r="K14" s="103"/>
      <c r="L14" s="103"/>
      <c r="M14" s="103"/>
      <c r="N14" s="103"/>
      <c r="O14" s="47"/>
      <c r="P14" s="85"/>
      <c r="Q14" s="47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47"/>
      <c r="AE14" s="103"/>
      <c r="AF14" s="103"/>
      <c r="AG14" s="47"/>
      <c r="AH14" s="85"/>
      <c r="AI14" s="51"/>
      <c r="AJ14" s="55">
        <f t="shared" si="2"/>
        <v>0</v>
      </c>
    </row>
    <row r="15" spans="1:36" s="36" customFormat="1" ht="15.75" x14ac:dyDescent="0.25">
      <c r="A15" s="60" t="s">
        <v>49</v>
      </c>
      <c r="B15" s="61" t="s">
        <v>374</v>
      </c>
      <c r="C15" s="52" t="s">
        <v>373</v>
      </c>
      <c r="D15" s="52" t="s">
        <v>375</v>
      </c>
      <c r="E15" s="52" t="s">
        <v>370</v>
      </c>
      <c r="F15" s="87">
        <v>44033</v>
      </c>
      <c r="G15" s="87">
        <v>44371</v>
      </c>
      <c r="H15" s="88">
        <f>((G15-F15)/7)/4.3</f>
        <v>11.22923588039867</v>
      </c>
      <c r="I15" s="181">
        <v>9534114</v>
      </c>
      <c r="J15" s="53">
        <v>8913792</v>
      </c>
      <c r="K15" s="53">
        <f>I15-J15</f>
        <v>620322</v>
      </c>
      <c r="L15" s="53">
        <v>8917546</v>
      </c>
      <c r="M15" s="53">
        <f>I15-L15</f>
        <v>616568</v>
      </c>
      <c r="N15" s="53">
        <f>K15-M15</f>
        <v>3754</v>
      </c>
      <c r="O15" s="47"/>
      <c r="P15" s="115">
        <v>4251267</v>
      </c>
      <c r="Q15" s="47"/>
      <c r="R15" s="115">
        <v>974630</v>
      </c>
      <c r="S15" s="115">
        <v>965506</v>
      </c>
      <c r="T15" s="54">
        <v>1033536</v>
      </c>
      <c r="U15" s="54">
        <v>1016301</v>
      </c>
      <c r="V15" s="54">
        <v>817564</v>
      </c>
      <c r="W15" s="54">
        <v>475310</v>
      </c>
      <c r="X15" s="58"/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47"/>
      <c r="AE15" s="53"/>
      <c r="AF15" s="53"/>
      <c r="AG15" s="47"/>
      <c r="AH15" s="53">
        <f>SUM(P15:AG15)</f>
        <v>9534114</v>
      </c>
      <c r="AI15" s="51"/>
      <c r="AJ15" s="55">
        <f t="shared" si="2"/>
        <v>0</v>
      </c>
    </row>
    <row r="16" spans="1:36" s="36" customFormat="1" ht="15.75" x14ac:dyDescent="0.25">
      <c r="A16" s="34" t="s">
        <v>55</v>
      </c>
      <c r="B16" s="35" t="s">
        <v>376</v>
      </c>
      <c r="C16" s="52" t="s">
        <v>373</v>
      </c>
      <c r="D16" s="52" t="s">
        <v>401</v>
      </c>
      <c r="E16" s="52" t="s">
        <v>370</v>
      </c>
      <c r="F16" s="87">
        <v>44124</v>
      </c>
      <c r="G16" s="87">
        <v>44354</v>
      </c>
      <c r="H16" s="88">
        <f>((G16-F16)/7)/4.3</f>
        <v>7.6411960132890364</v>
      </c>
      <c r="I16" s="181">
        <v>1208821</v>
      </c>
      <c r="J16" s="53">
        <v>1021270</v>
      </c>
      <c r="K16" s="53">
        <f>I16-J16</f>
        <v>187551</v>
      </c>
      <c r="L16" s="53">
        <v>945919</v>
      </c>
      <c r="M16" s="53">
        <f>I16-L16</f>
        <v>262902</v>
      </c>
      <c r="N16" s="53">
        <f>K16-M16</f>
        <v>-75351</v>
      </c>
      <c r="O16" s="47"/>
      <c r="P16" s="115">
        <v>501155</v>
      </c>
      <c r="Q16" s="47"/>
      <c r="R16" s="115">
        <v>186495</v>
      </c>
      <c r="S16" s="115">
        <v>202246</v>
      </c>
      <c r="T16" s="54">
        <v>66601</v>
      </c>
      <c r="U16" s="54">
        <v>160707</v>
      </c>
      <c r="V16" s="187">
        <v>91617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47"/>
      <c r="AE16" s="53"/>
      <c r="AF16" s="53"/>
      <c r="AG16" s="47"/>
      <c r="AH16" s="53">
        <f>SUM(P16:AG16)</f>
        <v>1208821</v>
      </c>
      <c r="AI16" s="51"/>
      <c r="AJ16" s="55">
        <f t="shared" si="2"/>
        <v>0</v>
      </c>
    </row>
    <row r="17" spans="1:36" s="36" customFormat="1" ht="15.75" x14ac:dyDescent="0.25">
      <c r="A17" s="34" t="s">
        <v>60</v>
      </c>
      <c r="B17" s="35" t="s">
        <v>377</v>
      </c>
      <c r="C17" s="52" t="s">
        <v>373</v>
      </c>
      <c r="D17" s="52" t="s">
        <v>378</v>
      </c>
      <c r="E17" s="52" t="s">
        <v>370</v>
      </c>
      <c r="F17" s="87">
        <v>44119</v>
      </c>
      <c r="G17" s="87">
        <v>44546</v>
      </c>
      <c r="H17" s="88">
        <f>((G17-F17)/7)/4.3</f>
        <v>14.186046511627907</v>
      </c>
      <c r="I17" s="181">
        <v>13107911</v>
      </c>
      <c r="J17" s="53">
        <v>12555112</v>
      </c>
      <c r="K17" s="53">
        <f>I17-J17</f>
        <v>552799</v>
      </c>
      <c r="L17" s="53">
        <v>12611053</v>
      </c>
      <c r="M17" s="53">
        <f>I17-L17</f>
        <v>496858</v>
      </c>
      <c r="N17" s="53">
        <f>K17-M17</f>
        <v>55941</v>
      </c>
      <c r="O17" s="47"/>
      <c r="P17" s="115">
        <v>802663</v>
      </c>
      <c r="Q17" s="47"/>
      <c r="R17" s="115">
        <v>1051823</v>
      </c>
      <c r="S17" s="115">
        <v>822272</v>
      </c>
      <c r="T17" s="54">
        <v>1300000</v>
      </c>
      <c r="U17" s="54">
        <v>1300000</v>
      </c>
      <c r="V17" s="54">
        <v>1400000</v>
      </c>
      <c r="W17" s="54">
        <v>1450000</v>
      </c>
      <c r="X17" s="54">
        <v>1379154</v>
      </c>
      <c r="Y17" s="54">
        <v>1270563</v>
      </c>
      <c r="Z17" s="54">
        <v>843964</v>
      </c>
      <c r="AA17" s="54">
        <v>843964</v>
      </c>
      <c r="AB17" s="54">
        <v>520154</v>
      </c>
      <c r="AC17" s="54">
        <v>123354</v>
      </c>
      <c r="AD17" s="47"/>
      <c r="AE17" s="53"/>
      <c r="AF17" s="53"/>
      <c r="AG17" s="47"/>
      <c r="AH17" s="53">
        <f>SUM(P17:AG17)</f>
        <v>13107911</v>
      </c>
      <c r="AI17" s="51"/>
      <c r="AJ17" s="55">
        <f t="shared" si="2"/>
        <v>0</v>
      </c>
    </row>
    <row r="18" spans="1:36" s="36" customFormat="1" ht="15.75" x14ac:dyDescent="0.25">
      <c r="A18" s="93"/>
      <c r="B18" s="94"/>
      <c r="C18" s="91"/>
      <c r="D18" s="91"/>
      <c r="E18" s="91"/>
      <c r="F18" s="91"/>
      <c r="G18" s="91"/>
      <c r="H18" s="92"/>
      <c r="I18" s="59">
        <f>SUM(I15:I17)</f>
        <v>23850846</v>
      </c>
      <c r="J18" s="59"/>
      <c r="K18" s="59"/>
      <c r="L18" s="59"/>
      <c r="M18" s="59"/>
      <c r="N18" s="59"/>
      <c r="O18" s="47"/>
      <c r="P18" s="59">
        <f>SUM(P15:P17)</f>
        <v>5555085</v>
      </c>
      <c r="Q18" s="47"/>
      <c r="R18" s="59">
        <f>SUM(R15:R17)</f>
        <v>2212948</v>
      </c>
      <c r="S18" s="59">
        <f t="shared" ref="S18:AC18" si="4">SUM(S15:S17)</f>
        <v>1990024</v>
      </c>
      <c r="T18" s="59">
        <f t="shared" si="4"/>
        <v>2400137</v>
      </c>
      <c r="U18" s="59">
        <f t="shared" si="4"/>
        <v>2477008</v>
      </c>
      <c r="V18" s="59">
        <f t="shared" si="4"/>
        <v>2309181</v>
      </c>
      <c r="W18" s="59">
        <f t="shared" si="4"/>
        <v>1925310</v>
      </c>
      <c r="X18" s="59">
        <f t="shared" si="4"/>
        <v>1379154</v>
      </c>
      <c r="Y18" s="59">
        <f t="shared" si="4"/>
        <v>1270563</v>
      </c>
      <c r="Z18" s="59">
        <f t="shared" si="4"/>
        <v>843964</v>
      </c>
      <c r="AA18" s="59">
        <f t="shared" si="4"/>
        <v>843964</v>
      </c>
      <c r="AB18" s="59">
        <f t="shared" si="4"/>
        <v>520154</v>
      </c>
      <c r="AC18" s="59">
        <f t="shared" si="4"/>
        <v>123354</v>
      </c>
      <c r="AD18" s="47"/>
      <c r="AE18" s="59">
        <f>SUM(AE14:AE17)</f>
        <v>0</v>
      </c>
      <c r="AF18" s="59">
        <f>SUM(AF14:AF17)</f>
        <v>0</v>
      </c>
      <c r="AG18" s="47"/>
      <c r="AH18" s="53">
        <f t="shared" ref="AH18:AH23" si="5">SUM(P18:AG18)</f>
        <v>23850846</v>
      </c>
      <c r="AI18" s="51"/>
      <c r="AJ18" s="55">
        <f t="shared" si="2"/>
        <v>0</v>
      </c>
    </row>
    <row r="19" spans="1:36" s="36" customFormat="1" ht="15.75" x14ac:dyDescent="0.25">
      <c r="A19" s="106" t="s">
        <v>379</v>
      </c>
      <c r="B19" s="107"/>
      <c r="C19" s="101" t="s">
        <v>380</v>
      </c>
      <c r="D19" s="102"/>
      <c r="E19" s="102"/>
      <c r="F19" s="102"/>
      <c r="G19" s="102"/>
      <c r="H19" s="84"/>
      <c r="I19" s="103"/>
      <c r="J19" s="103"/>
      <c r="K19" s="103"/>
      <c r="L19" s="103"/>
      <c r="M19" s="103"/>
      <c r="N19" s="103"/>
      <c r="O19" s="47"/>
      <c r="P19" s="85"/>
      <c r="Q19" s="47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47"/>
      <c r="AE19" s="103"/>
      <c r="AF19" s="103"/>
      <c r="AG19" s="47"/>
      <c r="AH19" s="85"/>
      <c r="AI19" s="51"/>
      <c r="AJ19" s="55">
        <f t="shared" si="2"/>
        <v>0</v>
      </c>
    </row>
    <row r="20" spans="1:36" s="36" customFormat="1" ht="15.75" x14ac:dyDescent="0.25">
      <c r="A20" s="60" t="s">
        <v>269</v>
      </c>
      <c r="B20" s="61" t="s">
        <v>270</v>
      </c>
      <c r="C20" s="52" t="s">
        <v>380</v>
      </c>
      <c r="D20" s="52" t="s">
        <v>381</v>
      </c>
      <c r="E20" s="52" t="s">
        <v>370</v>
      </c>
      <c r="F20" s="52" t="e">
        <f>#REF!</f>
        <v>#REF!</v>
      </c>
      <c r="G20" s="52" t="e">
        <f>#REF!</f>
        <v>#REF!</v>
      </c>
      <c r="H20" s="50" t="e">
        <f t="shared" ref="H20:H30" si="6">((G20-F20)/7)/4.3</f>
        <v>#REF!</v>
      </c>
      <c r="I20" s="182">
        <v>890454</v>
      </c>
      <c r="J20" s="53"/>
      <c r="K20" s="53"/>
      <c r="L20" s="53"/>
      <c r="M20" s="53"/>
      <c r="N20" s="53"/>
      <c r="O20" s="47"/>
      <c r="P20" s="115">
        <v>890454</v>
      </c>
      <c r="Q20" s="47"/>
      <c r="R20" s="115"/>
      <c r="S20" s="115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47"/>
      <c r="AE20" s="53"/>
      <c r="AF20" s="53"/>
      <c r="AG20" s="47"/>
      <c r="AH20" s="53">
        <f t="shared" si="5"/>
        <v>890454</v>
      </c>
      <c r="AI20" s="51"/>
      <c r="AJ20" s="55">
        <f t="shared" si="2"/>
        <v>0</v>
      </c>
    </row>
    <row r="21" spans="1:36" s="36" customFormat="1" ht="15.75" x14ac:dyDescent="0.25">
      <c r="A21" s="60" t="s">
        <v>65</v>
      </c>
      <c r="B21" s="61" t="s">
        <v>66</v>
      </c>
      <c r="C21" s="52" t="s">
        <v>380</v>
      </c>
      <c r="D21" s="52" t="s">
        <v>381</v>
      </c>
      <c r="E21" s="52" t="s">
        <v>370</v>
      </c>
      <c r="F21" s="52">
        <v>44004</v>
      </c>
      <c r="G21" s="87">
        <v>44301</v>
      </c>
      <c r="H21" s="50">
        <f t="shared" si="6"/>
        <v>9.867109634551495</v>
      </c>
      <c r="I21" s="182">
        <v>2499778</v>
      </c>
      <c r="J21" s="53"/>
      <c r="K21" s="53"/>
      <c r="L21" s="53"/>
      <c r="M21" s="53"/>
      <c r="N21" s="53"/>
      <c r="O21" s="47"/>
      <c r="P21" s="115">
        <v>1697608</v>
      </c>
      <c r="Q21" s="47"/>
      <c r="R21" s="115">
        <v>93223</v>
      </c>
      <c r="S21" s="115"/>
      <c r="T21" s="54">
        <v>98948</v>
      </c>
      <c r="U21" s="187">
        <v>609999</v>
      </c>
      <c r="V21" s="53"/>
      <c r="W21" s="53"/>
      <c r="X21" s="53"/>
      <c r="Y21" s="53"/>
      <c r="Z21" s="53"/>
      <c r="AA21" s="53"/>
      <c r="AB21" s="53"/>
      <c r="AC21" s="53"/>
      <c r="AD21" s="47"/>
      <c r="AE21" s="53"/>
      <c r="AF21" s="53"/>
      <c r="AG21" s="47"/>
      <c r="AH21" s="53">
        <f t="shared" si="5"/>
        <v>2499778</v>
      </c>
      <c r="AI21" s="51"/>
      <c r="AJ21" s="55">
        <f t="shared" si="2"/>
        <v>0</v>
      </c>
    </row>
    <row r="22" spans="1:36" s="36" customFormat="1" ht="15.75" x14ac:dyDescent="0.25">
      <c r="A22" s="34" t="s">
        <v>71</v>
      </c>
      <c r="B22" s="35" t="s">
        <v>72</v>
      </c>
      <c r="C22" s="52" t="s">
        <v>380</v>
      </c>
      <c r="D22" s="52" t="s">
        <v>381</v>
      </c>
      <c r="E22" s="52" t="s">
        <v>320</v>
      </c>
      <c r="F22" s="52">
        <v>44317</v>
      </c>
      <c r="G22" s="52">
        <v>44407</v>
      </c>
      <c r="H22" s="50">
        <f t="shared" si="6"/>
        <v>2.9900332225913622</v>
      </c>
      <c r="I22" s="53">
        <v>177819</v>
      </c>
      <c r="J22" s="53"/>
      <c r="K22" s="53"/>
      <c r="L22" s="53"/>
      <c r="M22" s="53"/>
      <c r="N22" s="53"/>
      <c r="O22" s="47"/>
      <c r="P22" s="115"/>
      <c r="Q22" s="47"/>
      <c r="R22" s="115"/>
      <c r="S22" s="115"/>
      <c r="T22" s="54">
        <v>50000</v>
      </c>
      <c r="U22" s="54">
        <v>50000</v>
      </c>
      <c r="V22" s="54">
        <v>50000</v>
      </c>
      <c r="W22" s="54">
        <v>27819</v>
      </c>
      <c r="X22" s="53"/>
      <c r="Y22" s="53"/>
      <c r="Z22" s="53"/>
      <c r="AA22" s="53"/>
      <c r="AB22" s="53"/>
      <c r="AC22" s="53"/>
      <c r="AD22" s="47"/>
      <c r="AE22" s="53"/>
      <c r="AF22" s="53"/>
      <c r="AG22" s="47"/>
      <c r="AH22" s="53">
        <f t="shared" si="5"/>
        <v>177819</v>
      </c>
      <c r="AI22" s="51"/>
      <c r="AJ22" s="55">
        <f t="shared" si="2"/>
        <v>0</v>
      </c>
    </row>
    <row r="23" spans="1:36" s="36" customFormat="1" ht="15.75" x14ac:dyDescent="0.25">
      <c r="A23" s="34" t="s">
        <v>74</v>
      </c>
      <c r="B23" s="35" t="s">
        <v>76</v>
      </c>
      <c r="C23" s="52" t="s">
        <v>380</v>
      </c>
      <c r="D23" s="52" t="s">
        <v>381</v>
      </c>
      <c r="E23" s="52" t="s">
        <v>320</v>
      </c>
      <c r="F23" s="87">
        <v>44317</v>
      </c>
      <c r="G23" s="87">
        <v>44437</v>
      </c>
      <c r="H23" s="50">
        <f t="shared" si="6"/>
        <v>3.9867109634551494</v>
      </c>
      <c r="I23" s="182">
        <v>700000</v>
      </c>
      <c r="J23" s="53"/>
      <c r="K23" s="53"/>
      <c r="L23" s="53"/>
      <c r="M23" s="53"/>
      <c r="N23" s="53"/>
      <c r="O23" s="47"/>
      <c r="P23" s="115"/>
      <c r="Q23" s="47"/>
      <c r="R23" s="115"/>
      <c r="S23" s="115"/>
      <c r="T23" s="58"/>
      <c r="U23" s="187">
        <v>65000</v>
      </c>
      <c r="V23" s="54">
        <v>150000</v>
      </c>
      <c r="W23" s="54">
        <v>150000</v>
      </c>
      <c r="X23" s="54">
        <v>150000</v>
      </c>
      <c r="Y23" s="54">
        <v>125000</v>
      </c>
      <c r="Z23" s="54">
        <v>60000</v>
      </c>
      <c r="AA23" s="53"/>
      <c r="AB23" s="53"/>
      <c r="AC23" s="53"/>
      <c r="AD23" s="47"/>
      <c r="AE23" s="53"/>
      <c r="AF23" s="53"/>
      <c r="AG23" s="47"/>
      <c r="AH23" s="53">
        <f t="shared" si="5"/>
        <v>700000</v>
      </c>
      <c r="AI23" s="51"/>
      <c r="AJ23" s="55">
        <f t="shared" si="2"/>
        <v>0</v>
      </c>
    </row>
    <row r="24" spans="1:36" s="36" customFormat="1" ht="15.75" x14ac:dyDescent="0.25">
      <c r="A24" s="34" t="s">
        <v>78</v>
      </c>
      <c r="B24" s="35" t="s">
        <v>417</v>
      </c>
      <c r="C24" s="52" t="s">
        <v>380</v>
      </c>
      <c r="D24" s="52" t="s">
        <v>381</v>
      </c>
      <c r="E24" s="52" t="s">
        <v>320</v>
      </c>
      <c r="F24" s="87">
        <v>44348</v>
      </c>
      <c r="G24" s="87">
        <v>44528</v>
      </c>
      <c r="H24" s="50">
        <f t="shared" si="6"/>
        <v>5.9800664451827243</v>
      </c>
      <c r="I24" s="182">
        <v>469659</v>
      </c>
      <c r="J24" s="53"/>
      <c r="K24" s="53"/>
      <c r="L24" s="53"/>
      <c r="M24" s="53"/>
      <c r="N24" s="53"/>
      <c r="O24" s="47"/>
      <c r="P24" s="115">
        <v>32120</v>
      </c>
      <c r="Q24" s="47"/>
      <c r="R24" s="115"/>
      <c r="S24" s="115"/>
      <c r="T24" s="34"/>
      <c r="U24" s="34"/>
      <c r="V24" s="34"/>
      <c r="W24" s="54">
        <v>50000</v>
      </c>
      <c r="X24" s="54">
        <v>75000</v>
      </c>
      <c r="Y24" s="54">
        <v>80000</v>
      </c>
      <c r="Z24" s="54">
        <v>80000</v>
      </c>
      <c r="AA24" s="54">
        <v>75000</v>
      </c>
      <c r="AB24" s="54">
        <v>77539</v>
      </c>
      <c r="AC24" s="53"/>
      <c r="AD24" s="47"/>
      <c r="AE24" s="53"/>
      <c r="AF24" s="53"/>
      <c r="AG24" s="47"/>
      <c r="AH24" s="53">
        <f t="shared" ref="AH24:AH36" si="7">SUM(P24:AG24)</f>
        <v>469659</v>
      </c>
      <c r="AI24" s="51"/>
      <c r="AJ24" s="55">
        <f t="shared" si="2"/>
        <v>0</v>
      </c>
    </row>
    <row r="25" spans="1:36" s="36" customFormat="1" ht="15.75" x14ac:dyDescent="0.25">
      <c r="A25" s="34" t="s">
        <v>82</v>
      </c>
      <c r="B25" s="35" t="s">
        <v>83</v>
      </c>
      <c r="C25" s="52" t="s">
        <v>380</v>
      </c>
      <c r="D25" s="52" t="s">
        <v>381</v>
      </c>
      <c r="E25" s="52" t="s">
        <v>370</v>
      </c>
      <c r="F25" s="52">
        <v>44317</v>
      </c>
      <c r="G25" s="52">
        <v>44497</v>
      </c>
      <c r="H25" s="50">
        <f>((G25-F25)/7)/4.3</f>
        <v>5.9800664451827243</v>
      </c>
      <c r="I25" s="182">
        <v>446790</v>
      </c>
      <c r="J25" s="53"/>
      <c r="K25" s="53"/>
      <c r="L25" s="53"/>
      <c r="M25" s="53"/>
      <c r="N25" s="53"/>
      <c r="O25" s="47"/>
      <c r="P25" s="115"/>
      <c r="Q25" s="47"/>
      <c r="R25" s="115"/>
      <c r="S25" s="115"/>
      <c r="T25" s="34"/>
      <c r="U25" s="34"/>
      <c r="V25" s="34"/>
      <c r="W25" s="54">
        <v>25000</v>
      </c>
      <c r="X25" s="54">
        <v>75000</v>
      </c>
      <c r="Y25" s="54">
        <v>100000</v>
      </c>
      <c r="Z25" s="54">
        <v>100000</v>
      </c>
      <c r="AA25" s="54">
        <v>100000</v>
      </c>
      <c r="AB25" s="54">
        <v>46790</v>
      </c>
      <c r="AC25" s="53"/>
      <c r="AD25" s="47"/>
      <c r="AE25" s="53"/>
      <c r="AF25" s="53"/>
      <c r="AG25" s="47"/>
      <c r="AH25" s="53">
        <f>SUM(P25:AG25)</f>
        <v>446790</v>
      </c>
      <c r="AI25" s="51"/>
      <c r="AJ25" s="55">
        <f>I25-AH25</f>
        <v>0</v>
      </c>
    </row>
    <row r="26" spans="1:36" s="36" customFormat="1" ht="15.75" x14ac:dyDescent="0.25">
      <c r="A26" s="34" t="s">
        <v>84</v>
      </c>
      <c r="B26" s="35" t="s">
        <v>85</v>
      </c>
      <c r="C26" s="52" t="s">
        <v>380</v>
      </c>
      <c r="D26" s="52" t="s">
        <v>381</v>
      </c>
      <c r="E26" s="52" t="s">
        <v>320</v>
      </c>
      <c r="F26" s="52">
        <v>44317</v>
      </c>
      <c r="G26" s="52">
        <v>44497</v>
      </c>
      <c r="H26" s="50">
        <f>((G26-F26)/7)/4.3</f>
        <v>5.9800664451827243</v>
      </c>
      <c r="I26" s="182">
        <v>577801</v>
      </c>
      <c r="J26" s="53"/>
      <c r="K26" s="53"/>
      <c r="L26" s="53"/>
      <c r="M26" s="53"/>
      <c r="N26" s="53"/>
      <c r="O26" s="47"/>
      <c r="P26" s="115"/>
      <c r="Q26" s="47"/>
      <c r="R26" s="115"/>
      <c r="S26" s="115"/>
      <c r="T26" s="34"/>
      <c r="U26" s="34"/>
      <c r="V26" s="34"/>
      <c r="W26" s="54">
        <v>75000</v>
      </c>
      <c r="X26" s="54">
        <v>100000</v>
      </c>
      <c r="Y26" s="54">
        <v>125000</v>
      </c>
      <c r="Z26" s="54">
        <v>125000</v>
      </c>
      <c r="AA26" s="54">
        <v>100000</v>
      </c>
      <c r="AB26" s="54">
        <v>52801</v>
      </c>
      <c r="AC26" s="53"/>
      <c r="AD26" s="47"/>
      <c r="AE26" s="53"/>
      <c r="AF26" s="53"/>
      <c r="AG26" s="47"/>
      <c r="AH26" s="53">
        <f>SUM(P26:AG26)</f>
        <v>577801</v>
      </c>
      <c r="AI26" s="51"/>
      <c r="AJ26" s="55">
        <f>I26-AH26</f>
        <v>0</v>
      </c>
    </row>
    <row r="27" spans="1:36" s="36" customFormat="1" ht="15.75" x14ac:dyDescent="0.25">
      <c r="A27" s="34" t="s">
        <v>383</v>
      </c>
      <c r="B27" s="35" t="s">
        <v>384</v>
      </c>
      <c r="C27" s="52" t="s">
        <v>380</v>
      </c>
      <c r="D27" s="52" t="s">
        <v>381</v>
      </c>
      <c r="E27" s="52" t="s">
        <v>370</v>
      </c>
      <c r="F27" s="87">
        <v>44290</v>
      </c>
      <c r="G27" s="87">
        <v>44392</v>
      </c>
      <c r="H27" s="50">
        <f t="shared" si="6"/>
        <v>3.3887043189368771</v>
      </c>
      <c r="I27" s="182">
        <v>683158</v>
      </c>
      <c r="J27" s="53"/>
      <c r="K27" s="53"/>
      <c r="L27" s="53"/>
      <c r="M27" s="53"/>
      <c r="N27" s="53"/>
      <c r="O27" s="47"/>
      <c r="P27" s="115">
        <v>65749</v>
      </c>
      <c r="Q27" s="47"/>
      <c r="R27" s="115"/>
      <c r="S27" s="115"/>
      <c r="T27" s="54">
        <v>50000</v>
      </c>
      <c r="U27" s="54">
        <v>85000</v>
      </c>
      <c r="V27" s="54">
        <v>85000</v>
      </c>
      <c r="W27" s="54">
        <v>85000</v>
      </c>
      <c r="X27" s="54">
        <v>85000</v>
      </c>
      <c r="Y27" s="54">
        <v>85000</v>
      </c>
      <c r="Z27" s="54">
        <v>85000</v>
      </c>
      <c r="AA27" s="54">
        <v>50000</v>
      </c>
      <c r="AB27" s="54">
        <v>7409</v>
      </c>
      <c r="AC27" s="53"/>
      <c r="AD27" s="47"/>
      <c r="AE27" s="53"/>
      <c r="AF27" s="53"/>
      <c r="AG27" s="47"/>
      <c r="AH27" s="53">
        <f t="shared" si="7"/>
        <v>683158</v>
      </c>
      <c r="AI27" s="51"/>
      <c r="AJ27" s="55">
        <f t="shared" si="2"/>
        <v>0</v>
      </c>
    </row>
    <row r="28" spans="1:36" s="36" customFormat="1" ht="15.75" x14ac:dyDescent="0.25">
      <c r="A28" s="34" t="s">
        <v>92</v>
      </c>
      <c r="B28" s="35" t="s">
        <v>93</v>
      </c>
      <c r="C28" s="52" t="s">
        <v>380</v>
      </c>
      <c r="D28" s="52" t="s">
        <v>381</v>
      </c>
      <c r="E28" s="52" t="s">
        <v>370</v>
      </c>
      <c r="F28" s="87">
        <v>44256</v>
      </c>
      <c r="G28" s="87">
        <v>44557</v>
      </c>
      <c r="H28" s="50">
        <f t="shared" si="6"/>
        <v>10</v>
      </c>
      <c r="I28" s="182">
        <v>1436404</v>
      </c>
      <c r="J28" s="53"/>
      <c r="K28" s="53"/>
      <c r="L28" s="53"/>
      <c r="M28" s="53"/>
      <c r="N28" s="53"/>
      <c r="O28" s="47"/>
      <c r="P28" s="115">
        <v>91138</v>
      </c>
      <c r="Q28" s="47"/>
      <c r="R28" s="115"/>
      <c r="S28" s="178"/>
      <c r="T28" s="54">
        <v>100000</v>
      </c>
      <c r="U28" s="54">
        <v>150000</v>
      </c>
      <c r="V28" s="54">
        <v>150000</v>
      </c>
      <c r="W28" s="54">
        <v>150000</v>
      </c>
      <c r="X28" s="54">
        <v>150000</v>
      </c>
      <c r="Y28" s="54">
        <v>150000</v>
      </c>
      <c r="Z28" s="54">
        <v>175000</v>
      </c>
      <c r="AA28" s="54">
        <v>175000</v>
      </c>
      <c r="AB28" s="54">
        <v>145266</v>
      </c>
      <c r="AC28" s="58"/>
      <c r="AD28" s="47"/>
      <c r="AE28" s="58"/>
      <c r="AF28" s="53"/>
      <c r="AG28" s="47"/>
      <c r="AH28" s="53">
        <f t="shared" si="7"/>
        <v>1436404</v>
      </c>
      <c r="AI28" s="51"/>
      <c r="AJ28" s="55">
        <f t="shared" si="2"/>
        <v>0</v>
      </c>
    </row>
    <row r="29" spans="1:36" s="36" customFormat="1" ht="15.75" x14ac:dyDescent="0.25">
      <c r="A29" s="34" t="s">
        <v>96</v>
      </c>
      <c r="B29" s="35" t="s">
        <v>97</v>
      </c>
      <c r="C29" s="52" t="s">
        <v>380</v>
      </c>
      <c r="D29" s="52" t="s">
        <v>381</v>
      </c>
      <c r="E29" s="52" t="s">
        <v>370</v>
      </c>
      <c r="F29" s="87">
        <v>44284</v>
      </c>
      <c r="G29" s="87">
        <v>44524</v>
      </c>
      <c r="H29" s="50">
        <f t="shared" si="6"/>
        <v>7.9734219269102988</v>
      </c>
      <c r="I29" s="182">
        <v>648253</v>
      </c>
      <c r="J29" s="53"/>
      <c r="K29" s="53"/>
      <c r="L29" s="53"/>
      <c r="M29" s="53"/>
      <c r="N29" s="53"/>
      <c r="O29" s="47"/>
      <c r="P29" s="115">
        <v>124344</v>
      </c>
      <c r="Q29" s="47"/>
      <c r="R29" s="115"/>
      <c r="S29" s="178"/>
      <c r="T29" s="54">
        <v>25000</v>
      </c>
      <c r="U29" s="54">
        <v>65000</v>
      </c>
      <c r="V29" s="54">
        <v>65000</v>
      </c>
      <c r="W29" s="54">
        <v>65000</v>
      </c>
      <c r="X29" s="54">
        <v>65000</v>
      </c>
      <c r="Y29" s="54">
        <v>65000</v>
      </c>
      <c r="Z29" s="54">
        <v>65000</v>
      </c>
      <c r="AA29" s="54">
        <v>60000</v>
      </c>
      <c r="AB29" s="54">
        <v>48909</v>
      </c>
      <c r="AC29" s="53"/>
      <c r="AD29" s="47"/>
      <c r="AE29" s="53"/>
      <c r="AF29" s="53"/>
      <c r="AG29" s="47"/>
      <c r="AH29" s="53">
        <f t="shared" si="7"/>
        <v>648253</v>
      </c>
      <c r="AI29" s="51"/>
      <c r="AJ29" s="55">
        <f t="shared" si="2"/>
        <v>0</v>
      </c>
    </row>
    <row r="30" spans="1:36" s="36" customFormat="1" ht="15.75" x14ac:dyDescent="0.25">
      <c r="A30" s="60" t="s">
        <v>99</v>
      </c>
      <c r="B30" s="61" t="s">
        <v>100</v>
      </c>
      <c r="C30" s="52" t="s">
        <v>380</v>
      </c>
      <c r="D30" s="52" t="s">
        <v>381</v>
      </c>
      <c r="E30" s="52" t="s">
        <v>370</v>
      </c>
      <c r="F30" s="87">
        <v>44284</v>
      </c>
      <c r="G30" s="87">
        <v>44524</v>
      </c>
      <c r="H30" s="50">
        <f t="shared" si="6"/>
        <v>7.9734219269102988</v>
      </c>
      <c r="I30" s="182">
        <v>400187</v>
      </c>
      <c r="J30" s="53"/>
      <c r="K30" s="53"/>
      <c r="L30" s="53"/>
      <c r="M30" s="53"/>
      <c r="N30" s="53"/>
      <c r="O30" s="47"/>
      <c r="P30" s="115">
        <v>14681</v>
      </c>
      <c r="Q30" s="47"/>
      <c r="R30" s="115"/>
      <c r="S30" s="178"/>
      <c r="T30" s="54">
        <v>25000</v>
      </c>
      <c r="U30" s="54">
        <v>50000</v>
      </c>
      <c r="V30" s="54">
        <v>50000</v>
      </c>
      <c r="W30" s="54">
        <v>50000</v>
      </c>
      <c r="X30" s="54">
        <v>50000</v>
      </c>
      <c r="Y30" s="54">
        <v>50000</v>
      </c>
      <c r="Z30" s="54">
        <v>50000</v>
      </c>
      <c r="AA30" s="54">
        <v>50000</v>
      </c>
      <c r="AB30" s="54">
        <v>10506</v>
      </c>
      <c r="AC30" s="53"/>
      <c r="AD30" s="47"/>
      <c r="AE30" s="53"/>
      <c r="AF30" s="53"/>
      <c r="AG30" s="47"/>
      <c r="AH30" s="53">
        <f t="shared" si="7"/>
        <v>400187</v>
      </c>
      <c r="AI30" s="51"/>
      <c r="AJ30" s="55">
        <f t="shared" si="2"/>
        <v>0</v>
      </c>
    </row>
    <row r="31" spans="1:36" s="36" customFormat="1" ht="15.75" x14ac:dyDescent="0.25">
      <c r="A31" s="34" t="s">
        <v>102</v>
      </c>
      <c r="B31" s="35" t="s">
        <v>385</v>
      </c>
      <c r="C31" s="52" t="s">
        <v>380</v>
      </c>
      <c r="D31" s="52" t="s">
        <v>381</v>
      </c>
      <c r="E31" s="52" t="s">
        <v>320</v>
      </c>
      <c r="F31" s="52" t="s">
        <v>24</v>
      </c>
      <c r="G31" s="52" t="s">
        <v>24</v>
      </c>
      <c r="H31" s="52" t="s">
        <v>24</v>
      </c>
      <c r="I31" s="86">
        <v>0</v>
      </c>
      <c r="J31" s="53"/>
      <c r="K31" s="53"/>
      <c r="L31" s="53"/>
      <c r="M31" s="53"/>
      <c r="N31" s="53"/>
      <c r="O31" s="47"/>
      <c r="P31" s="115"/>
      <c r="Q31" s="47"/>
      <c r="R31" s="115"/>
      <c r="S31" s="178"/>
      <c r="T31" s="58"/>
      <c r="U31" s="58"/>
      <c r="V31" s="58"/>
      <c r="W31" s="53"/>
      <c r="X31" s="53"/>
      <c r="Y31" s="53"/>
      <c r="Z31" s="53"/>
      <c r="AA31" s="53"/>
      <c r="AB31" s="53"/>
      <c r="AC31" s="53"/>
      <c r="AD31" s="47"/>
      <c r="AE31" s="53"/>
      <c r="AF31" s="53"/>
      <c r="AG31" s="47"/>
      <c r="AH31" s="53">
        <f t="shared" si="7"/>
        <v>0</v>
      </c>
      <c r="AI31" s="51"/>
      <c r="AJ31" s="55">
        <f>I31-AH31</f>
        <v>0</v>
      </c>
    </row>
    <row r="32" spans="1:36" s="36" customFormat="1" ht="15.75" x14ac:dyDescent="0.25">
      <c r="A32" s="34" t="s">
        <v>325</v>
      </c>
      <c r="B32" s="35" t="s">
        <v>418</v>
      </c>
      <c r="C32" s="52" t="s">
        <v>380</v>
      </c>
      <c r="D32" s="52" t="s">
        <v>381</v>
      </c>
      <c r="E32" s="52" t="s">
        <v>320</v>
      </c>
      <c r="F32" s="52" t="s">
        <v>319</v>
      </c>
      <c r="G32" s="52" t="s">
        <v>319</v>
      </c>
      <c r="H32" s="52" t="s">
        <v>24</v>
      </c>
      <c r="I32" s="86">
        <v>15360</v>
      </c>
      <c r="J32" s="53"/>
      <c r="K32" s="53"/>
      <c r="L32" s="53"/>
      <c r="M32" s="53"/>
      <c r="N32" s="53"/>
      <c r="O32" s="47"/>
      <c r="P32" s="115"/>
      <c r="Q32" s="47"/>
      <c r="R32" s="115"/>
      <c r="S32" s="115">
        <v>15360</v>
      </c>
      <c r="T32" s="58"/>
      <c r="U32" s="58"/>
      <c r="V32" s="58"/>
      <c r="W32" s="53"/>
      <c r="X32" s="53"/>
      <c r="Y32" s="53"/>
      <c r="Z32" s="53"/>
      <c r="AA32" s="53"/>
      <c r="AB32" s="53"/>
      <c r="AC32" s="53"/>
      <c r="AD32" s="47"/>
      <c r="AE32" s="53"/>
      <c r="AF32" s="53"/>
      <c r="AG32" s="47"/>
      <c r="AH32" s="53">
        <f t="shared" si="7"/>
        <v>15360</v>
      </c>
      <c r="AI32" s="51"/>
      <c r="AJ32" s="55">
        <f>I32-AH32</f>
        <v>0</v>
      </c>
    </row>
    <row r="33" spans="1:36" s="36" customFormat="1" ht="15.75" x14ac:dyDescent="0.25">
      <c r="A33" s="34" t="s">
        <v>328</v>
      </c>
      <c r="B33" s="35" t="s">
        <v>419</v>
      </c>
      <c r="C33" s="52" t="s">
        <v>380</v>
      </c>
      <c r="D33" s="52" t="s">
        <v>381</v>
      </c>
      <c r="E33" s="52" t="s">
        <v>320</v>
      </c>
      <c r="F33" s="52" t="s">
        <v>319</v>
      </c>
      <c r="G33" s="52" t="s">
        <v>319</v>
      </c>
      <c r="H33" s="52" t="s">
        <v>24</v>
      </c>
      <c r="I33" s="86">
        <v>5720</v>
      </c>
      <c r="J33" s="53"/>
      <c r="K33" s="53"/>
      <c r="L33" s="53"/>
      <c r="M33" s="53"/>
      <c r="N33" s="53"/>
      <c r="O33" s="47"/>
      <c r="P33" s="115"/>
      <c r="Q33" s="47"/>
      <c r="R33" s="115"/>
      <c r="S33" s="115">
        <v>5720</v>
      </c>
      <c r="T33" s="58"/>
      <c r="U33" s="58"/>
      <c r="V33" s="58"/>
      <c r="W33" s="53"/>
      <c r="X33" s="53"/>
      <c r="Y33" s="53"/>
      <c r="Z33" s="53"/>
      <c r="AA33" s="53"/>
      <c r="AB33" s="53"/>
      <c r="AC33" s="53"/>
      <c r="AD33" s="47"/>
      <c r="AE33" s="53"/>
      <c r="AF33" s="53"/>
      <c r="AG33" s="47"/>
      <c r="AH33" s="53">
        <f t="shared" si="7"/>
        <v>5720</v>
      </c>
      <c r="AI33" s="51"/>
      <c r="AJ33" s="55">
        <f>I33-AH33</f>
        <v>0</v>
      </c>
    </row>
    <row r="34" spans="1:36" s="36" customFormat="1" ht="15.75" x14ac:dyDescent="0.25">
      <c r="A34" s="34" t="s">
        <v>107</v>
      </c>
      <c r="B34" s="35" t="s">
        <v>108</v>
      </c>
      <c r="C34" s="52" t="s">
        <v>380</v>
      </c>
      <c r="D34" s="52" t="s">
        <v>381</v>
      </c>
      <c r="E34" s="52" t="s">
        <v>320</v>
      </c>
      <c r="F34" s="52">
        <v>44336</v>
      </c>
      <c r="G34" s="52">
        <v>44456</v>
      </c>
      <c r="H34" s="50">
        <f>((G34-F34)/7)/4.3</f>
        <v>3.9867109634551494</v>
      </c>
      <c r="I34" s="53">
        <v>175000</v>
      </c>
      <c r="J34" s="53"/>
      <c r="K34" s="53"/>
      <c r="L34" s="53"/>
      <c r="M34" s="53"/>
      <c r="N34" s="53"/>
      <c r="O34" s="47"/>
      <c r="P34" s="115"/>
      <c r="Q34" s="47"/>
      <c r="R34" s="115"/>
      <c r="S34" s="178"/>
      <c r="T34" s="34"/>
      <c r="U34" s="54">
        <v>25000</v>
      </c>
      <c r="V34" s="54">
        <v>25000</v>
      </c>
      <c r="W34" s="54">
        <v>50000</v>
      </c>
      <c r="X34" s="54">
        <v>50000</v>
      </c>
      <c r="Y34" s="54">
        <v>25000</v>
      </c>
      <c r="Z34" s="53"/>
      <c r="AA34" s="53"/>
      <c r="AB34" s="53"/>
      <c r="AC34" s="53"/>
      <c r="AD34" s="47"/>
      <c r="AE34" s="53"/>
      <c r="AF34" s="53"/>
      <c r="AG34" s="47"/>
      <c r="AH34" s="53">
        <f t="shared" si="7"/>
        <v>175000</v>
      </c>
      <c r="AI34" s="51"/>
      <c r="AJ34" s="55">
        <f>I34-AH34</f>
        <v>0</v>
      </c>
    </row>
    <row r="35" spans="1:36" s="36" customFormat="1" ht="15.75" x14ac:dyDescent="0.25">
      <c r="A35" s="34" t="s">
        <v>110</v>
      </c>
      <c r="B35" s="35" t="s">
        <v>111</v>
      </c>
      <c r="C35" s="52" t="s">
        <v>380</v>
      </c>
      <c r="D35" s="52" t="s">
        <v>381</v>
      </c>
      <c r="E35" s="52" t="s">
        <v>320</v>
      </c>
      <c r="F35" s="52"/>
      <c r="G35" s="52"/>
      <c r="H35" s="50"/>
      <c r="I35" s="53"/>
      <c r="J35" s="53"/>
      <c r="K35" s="53"/>
      <c r="L35" s="53"/>
      <c r="M35" s="53"/>
      <c r="N35" s="53"/>
      <c r="O35" s="47"/>
      <c r="P35" s="115"/>
      <c r="Q35" s="47"/>
      <c r="R35" s="115"/>
      <c r="S35" s="178"/>
      <c r="T35" s="34"/>
      <c r="U35" s="58"/>
      <c r="V35" s="58"/>
      <c r="W35" s="58"/>
      <c r="X35" s="58"/>
      <c r="Y35" s="58"/>
      <c r="Z35" s="53"/>
      <c r="AA35" s="53"/>
      <c r="AB35" s="53"/>
      <c r="AC35" s="53"/>
      <c r="AD35" s="47"/>
      <c r="AE35" s="53"/>
      <c r="AF35" s="53"/>
      <c r="AG35" s="47"/>
      <c r="AH35" s="53">
        <f t="shared" si="7"/>
        <v>0</v>
      </c>
      <c r="AI35" s="51"/>
      <c r="AJ35" s="55">
        <f>I35-AH35</f>
        <v>0</v>
      </c>
    </row>
    <row r="36" spans="1:36" s="36" customFormat="1" ht="15.75" x14ac:dyDescent="0.25">
      <c r="A36" s="93"/>
      <c r="B36" s="94"/>
      <c r="C36" s="91"/>
      <c r="D36" s="91"/>
      <c r="E36" s="91"/>
      <c r="F36" s="91"/>
      <c r="G36" s="91"/>
      <c r="H36" s="92"/>
      <c r="I36" s="59">
        <f>SUM(I20:N34)</f>
        <v>9126383</v>
      </c>
      <c r="J36" s="59"/>
      <c r="K36" s="59"/>
      <c r="L36" s="59"/>
      <c r="M36" s="59"/>
      <c r="N36" s="59"/>
      <c r="O36" s="47"/>
      <c r="P36" s="59">
        <f>SUM(P20:P34)</f>
        <v>2916094</v>
      </c>
      <c r="Q36" s="47"/>
      <c r="R36" s="59">
        <f t="shared" ref="R36:AC36" si="8">SUM(R20:R34)</f>
        <v>93223</v>
      </c>
      <c r="S36" s="59">
        <f t="shared" si="8"/>
        <v>21080</v>
      </c>
      <c r="T36" s="59">
        <f t="shared" si="8"/>
        <v>348948</v>
      </c>
      <c r="U36" s="59">
        <f t="shared" si="8"/>
        <v>1099999</v>
      </c>
      <c r="V36" s="59">
        <f t="shared" si="8"/>
        <v>575000</v>
      </c>
      <c r="W36" s="59">
        <f t="shared" si="8"/>
        <v>727819</v>
      </c>
      <c r="X36" s="59">
        <f t="shared" si="8"/>
        <v>800000</v>
      </c>
      <c r="Y36" s="59">
        <f t="shared" si="8"/>
        <v>805000</v>
      </c>
      <c r="Z36" s="59">
        <f t="shared" si="8"/>
        <v>740000</v>
      </c>
      <c r="AA36" s="59">
        <f t="shared" si="8"/>
        <v>610000</v>
      </c>
      <c r="AB36" s="59">
        <f t="shared" si="8"/>
        <v>389220</v>
      </c>
      <c r="AC36" s="59">
        <f t="shared" si="8"/>
        <v>0</v>
      </c>
      <c r="AD36" s="47"/>
      <c r="AE36" s="59">
        <f>SUM(AE20:AE34)</f>
        <v>0</v>
      </c>
      <c r="AF36" s="59">
        <f>SUM(AF20:AF34)</f>
        <v>0</v>
      </c>
      <c r="AG36" s="47"/>
      <c r="AH36" s="53">
        <f t="shared" si="7"/>
        <v>9126383</v>
      </c>
      <c r="AI36" s="51"/>
      <c r="AJ36" s="55">
        <f t="shared" si="2"/>
        <v>0</v>
      </c>
    </row>
    <row r="37" spans="1:36" s="36" customFormat="1" ht="15.75" x14ac:dyDescent="0.25">
      <c r="A37" s="106" t="s">
        <v>115</v>
      </c>
      <c r="B37" s="107"/>
      <c r="C37" s="101" t="s">
        <v>386</v>
      </c>
      <c r="D37" s="102"/>
      <c r="E37" s="102"/>
      <c r="F37" s="102"/>
      <c r="G37" s="102"/>
      <c r="H37" s="84"/>
      <c r="I37" s="103"/>
      <c r="J37" s="103"/>
      <c r="K37" s="103"/>
      <c r="L37" s="103"/>
      <c r="M37" s="103"/>
      <c r="N37" s="103"/>
      <c r="O37" s="47"/>
      <c r="P37" s="85"/>
      <c r="Q37" s="47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47"/>
      <c r="AE37" s="103"/>
      <c r="AF37" s="103"/>
      <c r="AG37" s="47"/>
      <c r="AH37" s="85"/>
      <c r="AI37" s="51"/>
      <c r="AJ37" s="55">
        <f t="shared" si="2"/>
        <v>0</v>
      </c>
    </row>
    <row r="38" spans="1:36" s="36" customFormat="1" ht="15.75" x14ac:dyDescent="0.25">
      <c r="A38" s="60" t="s">
        <v>304</v>
      </c>
      <c r="B38" s="61" t="s">
        <v>420</v>
      </c>
      <c r="C38" s="52" t="s">
        <v>386</v>
      </c>
      <c r="D38" s="52" t="s">
        <v>386</v>
      </c>
      <c r="E38" s="52" t="s">
        <v>370</v>
      </c>
      <c r="F38" s="52">
        <v>44256</v>
      </c>
      <c r="G38" s="52">
        <v>44347</v>
      </c>
      <c r="H38" s="50">
        <f>((G38-F38)/7)/4.3</f>
        <v>3.0232558139534884</v>
      </c>
      <c r="I38" s="182">
        <v>52095</v>
      </c>
      <c r="J38" s="53"/>
      <c r="K38" s="53"/>
      <c r="L38" s="53"/>
      <c r="M38" s="53"/>
      <c r="N38" s="53"/>
      <c r="O38" s="47"/>
      <c r="P38" s="115"/>
      <c r="Q38" s="47"/>
      <c r="R38" s="115"/>
      <c r="S38" s="115"/>
      <c r="T38" s="54">
        <f>30000/4</f>
        <v>7500</v>
      </c>
      <c r="U38" s="54">
        <v>15000</v>
      </c>
      <c r="V38" s="54">
        <v>20000</v>
      </c>
      <c r="W38" s="54">
        <v>9595</v>
      </c>
      <c r="X38" s="53"/>
      <c r="Y38" s="53"/>
      <c r="Z38" s="53"/>
      <c r="AA38" s="53"/>
      <c r="AB38" s="53"/>
      <c r="AC38" s="53"/>
      <c r="AD38" s="47"/>
      <c r="AE38" s="53"/>
      <c r="AF38" s="53"/>
      <c r="AG38" s="47"/>
      <c r="AH38" s="53">
        <f>SUM(P38:AG38)</f>
        <v>52095</v>
      </c>
      <c r="AI38" s="51"/>
      <c r="AJ38" s="55">
        <f t="shared" si="2"/>
        <v>0</v>
      </c>
    </row>
    <row r="39" spans="1:36" s="36" customFormat="1" ht="15.75" x14ac:dyDescent="0.25">
      <c r="A39" s="94"/>
      <c r="B39" s="96"/>
      <c r="C39" s="91"/>
      <c r="D39" s="91"/>
      <c r="E39" s="91"/>
      <c r="F39" s="91"/>
      <c r="G39" s="91"/>
      <c r="H39" s="92"/>
      <c r="I39" s="59">
        <f>SUM(I38)</f>
        <v>52095</v>
      </c>
      <c r="J39" s="59"/>
      <c r="K39" s="59"/>
      <c r="L39" s="59"/>
      <c r="M39" s="59"/>
      <c r="N39" s="59"/>
      <c r="O39" s="47"/>
      <c r="P39" s="59">
        <f>SUM(P38)</f>
        <v>0</v>
      </c>
      <c r="Q39" s="47"/>
      <c r="R39" s="59">
        <f>SUM(R38)</f>
        <v>0</v>
      </c>
      <c r="S39" s="59">
        <f t="shared" ref="S39:AC39" si="9">SUM(S38)</f>
        <v>0</v>
      </c>
      <c r="T39" s="59">
        <f t="shared" si="9"/>
        <v>7500</v>
      </c>
      <c r="U39" s="59">
        <f t="shared" si="9"/>
        <v>15000</v>
      </c>
      <c r="V39" s="59">
        <f t="shared" si="9"/>
        <v>20000</v>
      </c>
      <c r="W39" s="59">
        <f t="shared" si="9"/>
        <v>9595</v>
      </c>
      <c r="X39" s="59">
        <f t="shared" si="9"/>
        <v>0</v>
      </c>
      <c r="Y39" s="59">
        <f t="shared" si="9"/>
        <v>0</v>
      </c>
      <c r="Z39" s="59">
        <f t="shared" si="9"/>
        <v>0</v>
      </c>
      <c r="AA39" s="59">
        <f t="shared" si="9"/>
        <v>0</v>
      </c>
      <c r="AB39" s="59">
        <f t="shared" si="9"/>
        <v>0</v>
      </c>
      <c r="AC39" s="59">
        <f t="shared" si="9"/>
        <v>0</v>
      </c>
      <c r="AD39" s="47"/>
      <c r="AE39" s="59">
        <f>SUM(AE38)</f>
        <v>0</v>
      </c>
      <c r="AF39" s="59">
        <f>SUM(AF23:AF38)</f>
        <v>0</v>
      </c>
      <c r="AG39" s="47"/>
      <c r="AH39" s="53">
        <f>SUM(P39:AG39)</f>
        <v>52095</v>
      </c>
      <c r="AI39" s="51"/>
      <c r="AJ39" s="55">
        <f t="shared" si="2"/>
        <v>0</v>
      </c>
    </row>
    <row r="40" spans="1:36" s="36" customFormat="1" ht="15.75" x14ac:dyDescent="0.25">
      <c r="A40" s="106" t="s">
        <v>119</v>
      </c>
      <c r="B40" s="107"/>
      <c r="C40" s="101" t="s">
        <v>387</v>
      </c>
      <c r="D40" s="102"/>
      <c r="E40" s="102"/>
      <c r="F40" s="102"/>
      <c r="G40" s="102"/>
      <c r="H40" s="84"/>
      <c r="I40" s="103"/>
      <c r="J40" s="103"/>
      <c r="K40" s="103"/>
      <c r="L40" s="103"/>
      <c r="M40" s="103"/>
      <c r="N40" s="103"/>
      <c r="O40" s="47"/>
      <c r="P40" s="85"/>
      <c r="Q40" s="47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47"/>
      <c r="AE40" s="103"/>
      <c r="AF40" s="103"/>
      <c r="AG40" s="47"/>
      <c r="AH40" s="85"/>
      <c r="AI40" s="51"/>
      <c r="AJ40" s="55">
        <f t="shared" si="2"/>
        <v>0</v>
      </c>
    </row>
    <row r="41" spans="1:36" s="36" customFormat="1" ht="15.75" x14ac:dyDescent="0.25">
      <c r="A41" s="56" t="s">
        <v>284</v>
      </c>
      <c r="B41" s="57" t="s">
        <v>421</v>
      </c>
      <c r="C41" s="52" t="s">
        <v>387</v>
      </c>
      <c r="D41" s="52" t="s">
        <v>402</v>
      </c>
      <c r="E41" s="52" t="s">
        <v>370</v>
      </c>
      <c r="F41" s="52"/>
      <c r="G41" s="52"/>
      <c r="H41" s="50">
        <f>((G41-F41)/7)/4.3</f>
        <v>0</v>
      </c>
      <c r="I41" s="182">
        <v>604799</v>
      </c>
      <c r="J41" s="53"/>
      <c r="K41" s="53"/>
      <c r="L41" s="53"/>
      <c r="M41" s="53"/>
      <c r="N41" s="53"/>
      <c r="O41" s="47"/>
      <c r="P41" s="115">
        <v>568347</v>
      </c>
      <c r="Q41" s="47"/>
      <c r="R41" s="115">
        <v>879</v>
      </c>
      <c r="S41" s="115">
        <v>35573</v>
      </c>
      <c r="T41" s="89"/>
      <c r="U41" s="89"/>
      <c r="V41" s="89"/>
      <c r="W41" s="89"/>
      <c r="X41" s="89"/>
      <c r="Y41" s="89"/>
      <c r="Z41" s="89"/>
      <c r="AA41" s="58"/>
      <c r="AB41" s="58"/>
      <c r="AC41" s="58"/>
      <c r="AD41" s="47"/>
      <c r="AE41" s="53"/>
      <c r="AF41" s="53"/>
      <c r="AG41" s="47"/>
      <c r="AH41" s="53">
        <f>SUM(P41:AG41)</f>
        <v>604799</v>
      </c>
      <c r="AI41" s="51"/>
      <c r="AJ41" s="55">
        <f>I41-AH41</f>
        <v>0</v>
      </c>
    </row>
    <row r="42" spans="1:36" s="36" customFormat="1" ht="15.75" x14ac:dyDescent="0.25">
      <c r="A42" s="56" t="s">
        <v>116</v>
      </c>
      <c r="B42" s="57" t="s">
        <v>117</v>
      </c>
      <c r="C42" s="52" t="s">
        <v>387</v>
      </c>
      <c r="D42" s="52" t="s">
        <v>402</v>
      </c>
      <c r="E42" s="52" t="s">
        <v>370</v>
      </c>
      <c r="F42" s="52">
        <v>44075</v>
      </c>
      <c r="G42" s="52">
        <v>44286</v>
      </c>
      <c r="H42" s="50">
        <f t="shared" ref="H42:H56" si="10">((G42-F42)/7)/4.3</f>
        <v>7.0099667774086383</v>
      </c>
      <c r="I42" s="182">
        <v>940687</v>
      </c>
      <c r="J42" s="53"/>
      <c r="K42" s="53"/>
      <c r="L42" s="53"/>
      <c r="M42" s="53"/>
      <c r="N42" s="53"/>
      <c r="O42" s="47"/>
      <c r="P42" s="115">
        <v>720455</v>
      </c>
      <c r="Q42" s="47"/>
      <c r="R42" s="115">
        <v>114649</v>
      </c>
      <c r="S42" s="115"/>
      <c r="T42" s="54">
        <v>105583</v>
      </c>
      <c r="U42" s="89"/>
      <c r="V42" s="89"/>
      <c r="W42" s="89"/>
      <c r="X42" s="89"/>
      <c r="Y42" s="89"/>
      <c r="Z42" s="89"/>
      <c r="AA42" s="58"/>
      <c r="AB42" s="58"/>
      <c r="AC42" s="58"/>
      <c r="AD42" s="47"/>
      <c r="AE42" s="53"/>
      <c r="AF42" s="53"/>
      <c r="AG42" s="47"/>
      <c r="AH42" s="53">
        <f>SUM(P42:AG42)</f>
        <v>940687</v>
      </c>
      <c r="AI42" s="51"/>
      <c r="AJ42" s="55">
        <f>I42-AH42</f>
        <v>0</v>
      </c>
    </row>
    <row r="43" spans="1:36" s="36" customFormat="1" ht="15.75" x14ac:dyDescent="0.25">
      <c r="A43" s="64" t="s">
        <v>121</v>
      </c>
      <c r="B43" s="65" t="s">
        <v>122</v>
      </c>
      <c r="C43" s="52" t="s">
        <v>387</v>
      </c>
      <c r="D43" s="52" t="s">
        <v>402</v>
      </c>
      <c r="E43" s="52" t="s">
        <v>370</v>
      </c>
      <c r="F43" s="52">
        <v>44136</v>
      </c>
      <c r="G43" s="52">
        <v>44286</v>
      </c>
      <c r="H43" s="50">
        <f t="shared" si="10"/>
        <v>4.9833887043189371</v>
      </c>
      <c r="I43" s="182">
        <v>223564</v>
      </c>
      <c r="J43" s="53">
        <v>819670</v>
      </c>
      <c r="K43" s="53"/>
      <c r="L43" s="53"/>
      <c r="M43" s="53"/>
      <c r="N43" s="53"/>
      <c r="O43" s="47"/>
      <c r="P43" s="115">
        <v>64622</v>
      </c>
      <c r="Q43" s="47"/>
      <c r="R43" s="115">
        <v>39562</v>
      </c>
      <c r="S43" s="115">
        <v>18328</v>
      </c>
      <c r="T43" s="54">
        <v>101052</v>
      </c>
      <c r="U43" s="53"/>
      <c r="V43" s="53"/>
      <c r="W43" s="53"/>
      <c r="X43" s="53"/>
      <c r="Y43" s="53"/>
      <c r="Z43" s="53"/>
      <c r="AA43" s="53"/>
      <c r="AB43" s="53"/>
      <c r="AC43" s="53"/>
      <c r="AD43" s="47"/>
      <c r="AE43" s="53"/>
      <c r="AF43" s="53"/>
      <c r="AG43" s="47"/>
      <c r="AH43" s="53">
        <f t="shared" ref="AH43:AH99" si="11">SUM(P43:AG43)</f>
        <v>223564</v>
      </c>
      <c r="AI43" s="51"/>
      <c r="AJ43" s="55">
        <f t="shared" si="2"/>
        <v>0</v>
      </c>
    </row>
    <row r="44" spans="1:36" s="36" customFormat="1" ht="15.75" x14ac:dyDescent="0.25">
      <c r="A44" s="64" t="s">
        <v>124</v>
      </c>
      <c r="B44" s="65" t="s">
        <v>125</v>
      </c>
      <c r="C44" s="52" t="s">
        <v>387</v>
      </c>
      <c r="D44" s="52" t="s">
        <v>402</v>
      </c>
      <c r="E44" s="52" t="s">
        <v>370</v>
      </c>
      <c r="F44" s="52">
        <v>44136</v>
      </c>
      <c r="G44" s="52">
        <v>44286</v>
      </c>
      <c r="H44" s="50">
        <f t="shared" si="10"/>
        <v>4.9833887043189371</v>
      </c>
      <c r="I44" s="182">
        <v>314022</v>
      </c>
      <c r="J44" s="53"/>
      <c r="K44" s="53"/>
      <c r="L44" s="53"/>
      <c r="M44" s="53"/>
      <c r="N44" s="53"/>
      <c r="O44" s="47"/>
      <c r="P44" s="115">
        <v>124791</v>
      </c>
      <c r="Q44" s="47"/>
      <c r="R44" s="115">
        <v>64927</v>
      </c>
      <c r="S44" s="115">
        <v>25844</v>
      </c>
      <c r="T44" s="54">
        <v>98460</v>
      </c>
      <c r="U44" s="53"/>
      <c r="V44" s="53"/>
      <c r="W44" s="53"/>
      <c r="X44" s="53"/>
      <c r="Y44" s="53"/>
      <c r="Z44" s="53"/>
      <c r="AA44" s="53"/>
      <c r="AB44" s="53"/>
      <c r="AC44" s="53"/>
      <c r="AD44" s="47"/>
      <c r="AE44" s="53"/>
      <c r="AF44" s="53"/>
      <c r="AG44" s="47"/>
      <c r="AH44" s="53">
        <f t="shared" si="11"/>
        <v>314022</v>
      </c>
      <c r="AI44" s="51"/>
      <c r="AJ44" s="55">
        <f t="shared" si="2"/>
        <v>0</v>
      </c>
    </row>
    <row r="45" spans="1:36" s="36" customFormat="1" ht="15.75" x14ac:dyDescent="0.25">
      <c r="A45" s="64" t="s">
        <v>127</v>
      </c>
      <c r="B45" s="65" t="s">
        <v>396</v>
      </c>
      <c r="C45" s="52" t="s">
        <v>387</v>
      </c>
      <c r="D45" s="52" t="s">
        <v>402</v>
      </c>
      <c r="E45" s="52" t="s">
        <v>370</v>
      </c>
      <c r="F45" s="52">
        <v>44272</v>
      </c>
      <c r="G45" s="52">
        <v>44362</v>
      </c>
      <c r="H45" s="50">
        <f t="shared" si="10"/>
        <v>2.9900332225913622</v>
      </c>
      <c r="I45" s="182">
        <v>383545</v>
      </c>
      <c r="J45" s="53">
        <v>142789</v>
      </c>
      <c r="K45" s="53"/>
      <c r="L45" s="53"/>
      <c r="M45" s="53"/>
      <c r="N45" s="53"/>
      <c r="O45" s="47"/>
      <c r="P45" s="115"/>
      <c r="Q45" s="47"/>
      <c r="R45" s="115"/>
      <c r="S45" s="115"/>
      <c r="T45" s="54">
        <v>75000</v>
      </c>
      <c r="U45" s="54">
        <v>175000</v>
      </c>
      <c r="V45" s="54">
        <v>133545</v>
      </c>
      <c r="W45" s="53"/>
      <c r="X45" s="53"/>
      <c r="Y45" s="53"/>
      <c r="Z45" s="53"/>
      <c r="AA45" s="53"/>
      <c r="AB45" s="53"/>
      <c r="AC45" s="53"/>
      <c r="AD45" s="47"/>
      <c r="AE45" s="53"/>
      <c r="AF45" s="53"/>
      <c r="AG45" s="47"/>
      <c r="AH45" s="53">
        <f t="shared" si="11"/>
        <v>383545</v>
      </c>
      <c r="AI45" s="51"/>
      <c r="AJ45" s="55">
        <f t="shared" si="2"/>
        <v>0</v>
      </c>
    </row>
    <row r="46" spans="1:36" s="36" customFormat="1" ht="15.75" x14ac:dyDescent="0.25">
      <c r="A46" s="64" t="s">
        <v>129</v>
      </c>
      <c r="B46" s="65" t="s">
        <v>130</v>
      </c>
      <c r="C46" s="52" t="s">
        <v>387</v>
      </c>
      <c r="D46" s="52" t="s">
        <v>402</v>
      </c>
      <c r="E46" s="52" t="s">
        <v>370</v>
      </c>
      <c r="F46" s="52">
        <v>44136</v>
      </c>
      <c r="G46" s="52">
        <v>44408</v>
      </c>
      <c r="H46" s="50">
        <f t="shared" si="10"/>
        <v>9.0365448504983377</v>
      </c>
      <c r="I46" s="182">
        <v>1809504</v>
      </c>
      <c r="J46" s="53">
        <v>272772</v>
      </c>
      <c r="K46" s="53"/>
      <c r="L46" s="53"/>
      <c r="M46" s="53"/>
      <c r="N46" s="53"/>
      <c r="O46" s="47"/>
      <c r="P46" s="115">
        <v>407476</v>
      </c>
      <c r="Q46" s="47"/>
      <c r="R46" s="115">
        <v>214131</v>
      </c>
      <c r="S46" s="115">
        <v>74131</v>
      </c>
      <c r="T46" s="54">
        <v>135000</v>
      </c>
      <c r="U46" s="54">
        <v>200000</v>
      </c>
      <c r="V46" s="54">
        <v>250000</v>
      </c>
      <c r="W46" s="54">
        <v>275000</v>
      </c>
      <c r="X46" s="54">
        <v>253766</v>
      </c>
      <c r="Y46" s="53"/>
      <c r="Z46" s="53"/>
      <c r="AA46" s="53"/>
      <c r="AB46" s="53"/>
      <c r="AC46" s="53"/>
      <c r="AD46" s="47"/>
      <c r="AE46" s="53"/>
      <c r="AF46" s="53"/>
      <c r="AG46" s="47"/>
      <c r="AH46" s="53">
        <f t="shared" si="11"/>
        <v>1809504</v>
      </c>
      <c r="AI46" s="51"/>
      <c r="AJ46" s="55">
        <f t="shared" si="2"/>
        <v>0</v>
      </c>
    </row>
    <row r="47" spans="1:36" s="36" customFormat="1" ht="15.75" x14ac:dyDescent="0.25">
      <c r="A47" s="64" t="s">
        <v>134</v>
      </c>
      <c r="B47" s="65" t="s">
        <v>135</v>
      </c>
      <c r="C47" s="52" t="s">
        <v>387</v>
      </c>
      <c r="D47" s="52" t="s">
        <v>403</v>
      </c>
      <c r="E47" s="52" t="s">
        <v>370</v>
      </c>
      <c r="F47" s="52">
        <v>44228</v>
      </c>
      <c r="G47" s="52">
        <v>44429</v>
      </c>
      <c r="H47" s="50">
        <f t="shared" si="10"/>
        <v>6.6777408637873759</v>
      </c>
      <c r="I47" s="182">
        <v>1006579</v>
      </c>
      <c r="J47" s="53"/>
      <c r="K47" s="53"/>
      <c r="L47" s="53"/>
      <c r="M47" s="53"/>
      <c r="N47" s="53"/>
      <c r="O47" s="47"/>
      <c r="P47" s="115">
        <v>131243</v>
      </c>
      <c r="Q47" s="47"/>
      <c r="R47" s="115"/>
      <c r="S47" s="115"/>
      <c r="T47" s="54">
        <v>150000</v>
      </c>
      <c r="U47" s="54">
        <v>150000</v>
      </c>
      <c r="V47" s="54">
        <v>150000</v>
      </c>
      <c r="W47" s="54">
        <v>150000</v>
      </c>
      <c r="X47" s="54">
        <v>150362</v>
      </c>
      <c r="Y47" s="54">
        <v>124974</v>
      </c>
      <c r="Z47" s="53"/>
      <c r="AA47" s="53"/>
      <c r="AB47" s="53"/>
      <c r="AC47" s="53"/>
      <c r="AD47" s="47"/>
      <c r="AE47" s="53"/>
      <c r="AF47" s="53"/>
      <c r="AG47" s="47"/>
      <c r="AH47" s="53">
        <f t="shared" si="11"/>
        <v>1006579</v>
      </c>
      <c r="AI47" s="51"/>
      <c r="AJ47" s="55">
        <f t="shared" si="2"/>
        <v>0</v>
      </c>
    </row>
    <row r="48" spans="1:36" s="36" customFormat="1" ht="15.75" x14ac:dyDescent="0.25">
      <c r="A48" s="64" t="s">
        <v>139</v>
      </c>
      <c r="B48" s="65" t="s">
        <v>140</v>
      </c>
      <c r="C48" s="52" t="s">
        <v>387</v>
      </c>
      <c r="D48" s="87" t="s">
        <v>45</v>
      </c>
      <c r="E48" s="52" t="s">
        <v>370</v>
      </c>
      <c r="F48" s="52">
        <v>44224</v>
      </c>
      <c r="G48" s="52">
        <v>44464</v>
      </c>
      <c r="H48" s="50">
        <f t="shared" si="10"/>
        <v>7.9734219269102988</v>
      </c>
      <c r="I48" s="182">
        <v>1639962</v>
      </c>
      <c r="J48" s="53"/>
      <c r="K48" s="53"/>
      <c r="L48" s="53"/>
      <c r="M48" s="53"/>
      <c r="N48" s="53"/>
      <c r="O48" s="47"/>
      <c r="P48" s="115">
        <v>103605</v>
      </c>
      <c r="Q48" s="47"/>
      <c r="R48" s="115"/>
      <c r="S48" s="115">
        <v>71204</v>
      </c>
      <c r="T48" s="54">
        <v>150000</v>
      </c>
      <c r="U48" s="54">
        <v>200000</v>
      </c>
      <c r="V48" s="54">
        <v>250000</v>
      </c>
      <c r="W48" s="54">
        <v>250000</v>
      </c>
      <c r="X48" s="54">
        <v>250000</v>
      </c>
      <c r="Y48" s="54">
        <v>200000</v>
      </c>
      <c r="Z48" s="54">
        <v>165153</v>
      </c>
      <c r="AA48" s="53"/>
      <c r="AB48" s="53"/>
      <c r="AC48" s="53"/>
      <c r="AD48" s="47"/>
      <c r="AE48" s="53"/>
      <c r="AF48" s="53"/>
      <c r="AG48" s="47"/>
      <c r="AH48" s="53">
        <f t="shared" si="11"/>
        <v>1639962</v>
      </c>
      <c r="AI48" s="51"/>
      <c r="AJ48" s="55">
        <f t="shared" si="2"/>
        <v>0</v>
      </c>
    </row>
    <row r="49" spans="1:36" s="36" customFormat="1" ht="15.75" x14ac:dyDescent="0.25">
      <c r="A49" s="64" t="s">
        <v>337</v>
      </c>
      <c r="B49" s="65" t="s">
        <v>422</v>
      </c>
      <c r="C49" s="52" t="s">
        <v>387</v>
      </c>
      <c r="D49" s="87" t="s">
        <v>45</v>
      </c>
      <c r="E49" s="52" t="s">
        <v>320</v>
      </c>
      <c r="F49" s="52" t="s">
        <v>319</v>
      </c>
      <c r="G49" s="52" t="s">
        <v>319</v>
      </c>
      <c r="H49" s="50" t="s">
        <v>24</v>
      </c>
      <c r="I49" s="182">
        <v>37392</v>
      </c>
      <c r="J49" s="53"/>
      <c r="K49" s="53"/>
      <c r="L49" s="53"/>
      <c r="M49" s="53"/>
      <c r="N49" s="53"/>
      <c r="O49" s="47"/>
      <c r="P49" s="115"/>
      <c r="Q49" s="47"/>
      <c r="R49" s="115"/>
      <c r="S49" s="115">
        <v>37392</v>
      </c>
      <c r="T49" s="54"/>
      <c r="U49" s="54"/>
      <c r="V49" s="54"/>
      <c r="W49" s="54"/>
      <c r="X49" s="54"/>
      <c r="Y49" s="58"/>
      <c r="Z49" s="58"/>
      <c r="AA49" s="53"/>
      <c r="AB49" s="53"/>
      <c r="AC49" s="53"/>
      <c r="AD49" s="47"/>
      <c r="AE49" s="53"/>
      <c r="AF49" s="53"/>
      <c r="AG49" s="47"/>
      <c r="AH49" s="53">
        <f t="shared" si="11"/>
        <v>37392</v>
      </c>
      <c r="AI49" s="51"/>
      <c r="AJ49" s="55">
        <f t="shared" si="2"/>
        <v>0</v>
      </c>
    </row>
    <row r="50" spans="1:36" s="36" customFormat="1" ht="15.75" x14ac:dyDescent="0.25">
      <c r="A50" s="64" t="s">
        <v>143</v>
      </c>
      <c r="B50" s="65" t="s">
        <v>145</v>
      </c>
      <c r="C50" s="52" t="s">
        <v>387</v>
      </c>
      <c r="D50" s="87" t="s">
        <v>389</v>
      </c>
      <c r="E50" s="52" t="s">
        <v>320</v>
      </c>
      <c r="F50" s="52">
        <v>44461</v>
      </c>
      <c r="G50" s="52">
        <v>44701</v>
      </c>
      <c r="H50" s="50">
        <f t="shared" si="10"/>
        <v>7.9734219269102988</v>
      </c>
      <c r="I50" s="53">
        <v>1550000</v>
      </c>
      <c r="J50" s="53">
        <v>1339023</v>
      </c>
      <c r="K50" s="53"/>
      <c r="L50" s="53"/>
      <c r="M50" s="53"/>
      <c r="N50" s="53"/>
      <c r="O50" s="47"/>
      <c r="P50" s="115"/>
      <c r="Q50" s="47"/>
      <c r="R50" s="115"/>
      <c r="S50" s="115"/>
      <c r="T50" s="54">
        <v>150000</v>
      </c>
      <c r="U50" s="54">
        <v>150000</v>
      </c>
      <c r="V50" s="54">
        <v>250000</v>
      </c>
      <c r="W50" s="54">
        <v>250000</v>
      </c>
      <c r="X50" s="54">
        <v>250000</v>
      </c>
      <c r="Y50" s="54">
        <v>250000</v>
      </c>
      <c r="Z50" s="54">
        <v>146395</v>
      </c>
      <c r="AA50" s="58"/>
      <c r="AB50" s="58">
        <v>103605</v>
      </c>
      <c r="AC50" s="58"/>
      <c r="AD50" s="47"/>
      <c r="AE50" s="53"/>
      <c r="AF50" s="53"/>
      <c r="AG50" s="47"/>
      <c r="AH50" s="53">
        <f t="shared" si="11"/>
        <v>1550000</v>
      </c>
      <c r="AI50" s="51"/>
      <c r="AJ50" s="55">
        <f t="shared" si="2"/>
        <v>0</v>
      </c>
    </row>
    <row r="51" spans="1:36" s="36" customFormat="1" ht="15.75" x14ac:dyDescent="0.25">
      <c r="A51" s="64" t="s">
        <v>147</v>
      </c>
      <c r="B51" s="65" t="s">
        <v>423</v>
      </c>
      <c r="C51" s="52" t="s">
        <v>387</v>
      </c>
      <c r="D51" s="87" t="s">
        <v>45</v>
      </c>
      <c r="E51" s="52" t="s">
        <v>320</v>
      </c>
      <c r="F51" s="52">
        <v>44461</v>
      </c>
      <c r="G51" s="52">
        <v>44701</v>
      </c>
      <c r="H51" s="50">
        <f>((G51-F51)/7)/4.3</f>
        <v>7.9734219269102988</v>
      </c>
      <c r="I51" s="53">
        <v>1500000</v>
      </c>
      <c r="J51" s="53"/>
      <c r="K51" s="53"/>
      <c r="L51" s="53"/>
      <c r="M51" s="53"/>
      <c r="N51" s="53"/>
      <c r="O51" s="47"/>
      <c r="P51" s="115"/>
      <c r="Q51" s="47"/>
      <c r="R51" s="115"/>
      <c r="S51" s="115"/>
      <c r="T51" s="53"/>
      <c r="U51" s="89"/>
      <c r="V51" s="89"/>
      <c r="W51" s="89"/>
      <c r="X51" s="89"/>
      <c r="Y51" s="54">
        <v>187500</v>
      </c>
      <c r="Z51" s="54">
        <v>187500</v>
      </c>
      <c r="AA51" s="54">
        <v>187500</v>
      </c>
      <c r="AB51" s="54">
        <v>187500</v>
      </c>
      <c r="AC51" s="54">
        <v>187500</v>
      </c>
      <c r="AD51" s="47"/>
      <c r="AE51" s="54">
        <v>562500</v>
      </c>
      <c r="AF51" s="53"/>
      <c r="AG51" s="47"/>
      <c r="AH51" s="53">
        <f>SUM(P51:AG51)</f>
        <v>1500000</v>
      </c>
      <c r="AI51" s="51"/>
      <c r="AJ51" s="55">
        <f>I51-AH51</f>
        <v>0</v>
      </c>
    </row>
    <row r="52" spans="1:36" s="36" customFormat="1" ht="15.75" x14ac:dyDescent="0.25">
      <c r="A52" s="64" t="s">
        <v>150</v>
      </c>
      <c r="B52" s="65" t="s">
        <v>151</v>
      </c>
      <c r="C52" s="52" t="s">
        <v>387</v>
      </c>
      <c r="D52" s="87" t="s">
        <v>45</v>
      </c>
      <c r="E52" s="52" t="s">
        <v>320</v>
      </c>
      <c r="F52" s="52">
        <v>44461</v>
      </c>
      <c r="G52" s="52">
        <v>44701</v>
      </c>
      <c r="H52" s="50">
        <f t="shared" si="10"/>
        <v>7.9734219269102988</v>
      </c>
      <c r="I52" s="53">
        <v>1500000</v>
      </c>
      <c r="J52" s="53"/>
      <c r="K52" s="53"/>
      <c r="L52" s="53"/>
      <c r="M52" s="53"/>
      <c r="N52" s="53"/>
      <c r="O52" s="47"/>
      <c r="P52" s="115"/>
      <c r="Q52" s="47"/>
      <c r="R52" s="115"/>
      <c r="S52" s="115"/>
      <c r="T52" s="53"/>
      <c r="U52" s="53"/>
      <c r="V52" s="53"/>
      <c r="W52" s="54">
        <v>100000</v>
      </c>
      <c r="X52" s="54">
        <v>187500</v>
      </c>
      <c r="Y52" s="54">
        <v>187500</v>
      </c>
      <c r="Z52" s="54">
        <v>187500</v>
      </c>
      <c r="AA52" s="54">
        <v>187500</v>
      </c>
      <c r="AB52" s="54">
        <v>187500</v>
      </c>
      <c r="AC52" s="54">
        <v>187500</v>
      </c>
      <c r="AD52" s="47"/>
      <c r="AE52" s="54">
        <v>275000</v>
      </c>
      <c r="AF52" s="53"/>
      <c r="AG52" s="47"/>
      <c r="AH52" s="53">
        <f t="shared" si="11"/>
        <v>1500000</v>
      </c>
      <c r="AI52" s="51"/>
      <c r="AJ52" s="55">
        <f t="shared" si="2"/>
        <v>0</v>
      </c>
    </row>
    <row r="53" spans="1:36" s="36" customFormat="1" ht="15.75" x14ac:dyDescent="0.25">
      <c r="A53" s="64" t="s">
        <v>153</v>
      </c>
      <c r="B53" s="65" t="s">
        <v>424</v>
      </c>
      <c r="C53" s="52" t="s">
        <v>387</v>
      </c>
      <c r="D53" s="87" t="s">
        <v>45</v>
      </c>
      <c r="E53" s="52" t="s">
        <v>320</v>
      </c>
      <c r="F53" s="52">
        <v>44461</v>
      </c>
      <c r="G53" s="52">
        <v>44701</v>
      </c>
      <c r="H53" s="50">
        <f t="shared" si="10"/>
        <v>7.9734219269102988</v>
      </c>
      <c r="I53" s="53">
        <v>600000</v>
      </c>
      <c r="J53" s="53"/>
      <c r="K53" s="53"/>
      <c r="L53" s="53"/>
      <c r="M53" s="53"/>
      <c r="N53" s="53"/>
      <c r="O53" s="47"/>
      <c r="P53" s="115"/>
      <c r="Q53" s="47"/>
      <c r="R53" s="115"/>
      <c r="S53" s="115"/>
      <c r="T53" s="53"/>
      <c r="U53" s="89"/>
      <c r="V53" s="89"/>
      <c r="W53" s="89"/>
      <c r="X53" s="89"/>
      <c r="Y53" s="54">
        <v>100000</v>
      </c>
      <c r="Z53" s="54">
        <v>100000</v>
      </c>
      <c r="AA53" s="54">
        <v>125000</v>
      </c>
      <c r="AB53" s="54">
        <v>125000</v>
      </c>
      <c r="AC53" s="54">
        <v>100000</v>
      </c>
      <c r="AD53" s="47"/>
      <c r="AE53" s="54">
        <v>50000</v>
      </c>
      <c r="AF53" s="53"/>
      <c r="AG53" s="47"/>
      <c r="AH53" s="53">
        <f t="shared" si="11"/>
        <v>600000</v>
      </c>
      <c r="AI53" s="51"/>
      <c r="AJ53" s="55">
        <f t="shared" si="2"/>
        <v>0</v>
      </c>
    </row>
    <row r="54" spans="1:36" s="36" customFormat="1" ht="15.75" x14ac:dyDescent="0.25">
      <c r="A54" s="64" t="s">
        <v>425</v>
      </c>
      <c r="B54" s="65" t="s">
        <v>426</v>
      </c>
      <c r="C54" s="52" t="s">
        <v>387</v>
      </c>
      <c r="D54" s="87" t="s">
        <v>45</v>
      </c>
      <c r="E54" s="52" t="s">
        <v>320</v>
      </c>
      <c r="F54" s="52">
        <v>44461</v>
      </c>
      <c r="G54" s="52">
        <v>44701</v>
      </c>
      <c r="H54" s="50">
        <f t="shared" si="10"/>
        <v>7.9734219269102988</v>
      </c>
      <c r="I54" s="53">
        <v>1500000</v>
      </c>
      <c r="J54" s="53"/>
      <c r="K54" s="53"/>
      <c r="L54" s="53"/>
      <c r="M54" s="53"/>
      <c r="N54" s="53"/>
      <c r="O54" s="47"/>
      <c r="P54" s="115"/>
      <c r="Q54" s="47"/>
      <c r="R54" s="115"/>
      <c r="S54" s="115"/>
      <c r="T54" s="53"/>
      <c r="U54" s="89"/>
      <c r="V54" s="89"/>
      <c r="W54" s="89"/>
      <c r="X54" s="89"/>
      <c r="Y54" s="54">
        <v>100000</v>
      </c>
      <c r="Z54" s="54">
        <v>150000</v>
      </c>
      <c r="AA54" s="54">
        <v>200000</v>
      </c>
      <c r="AB54" s="54">
        <v>200000</v>
      </c>
      <c r="AC54" s="54">
        <v>200000</v>
      </c>
      <c r="AD54" s="47"/>
      <c r="AE54" s="54">
        <v>650000</v>
      </c>
      <c r="AF54" s="53"/>
      <c r="AG54" s="47"/>
      <c r="AH54" s="53">
        <f t="shared" si="11"/>
        <v>1500000</v>
      </c>
      <c r="AI54" s="51"/>
      <c r="AJ54" s="55">
        <f t="shared" si="2"/>
        <v>0</v>
      </c>
    </row>
    <row r="55" spans="1:36" s="36" customFormat="1" ht="15.75" x14ac:dyDescent="0.25">
      <c r="A55" s="64" t="s">
        <v>156</v>
      </c>
      <c r="B55" s="65" t="s">
        <v>427</v>
      </c>
      <c r="C55" s="52" t="s">
        <v>387</v>
      </c>
      <c r="D55" s="87" t="s">
        <v>45</v>
      </c>
      <c r="E55" s="52" t="s">
        <v>320</v>
      </c>
      <c r="F55" s="52">
        <v>44461</v>
      </c>
      <c r="G55" s="52">
        <v>44762</v>
      </c>
      <c r="H55" s="50">
        <f t="shared" si="10"/>
        <v>10</v>
      </c>
      <c r="I55" s="53">
        <v>750000</v>
      </c>
      <c r="J55" s="53"/>
      <c r="K55" s="53"/>
      <c r="L55" s="53"/>
      <c r="M55" s="53"/>
      <c r="N55" s="53"/>
      <c r="O55" s="47"/>
      <c r="P55" s="115"/>
      <c r="Q55" s="47"/>
      <c r="R55" s="115"/>
      <c r="S55" s="115"/>
      <c r="T55" s="53"/>
      <c r="U55" s="89"/>
      <c r="V55" s="89"/>
      <c r="W55" s="89"/>
      <c r="X55" s="89"/>
      <c r="Y55" s="54">
        <v>50000</v>
      </c>
      <c r="Z55" s="54">
        <v>65000</v>
      </c>
      <c r="AA55" s="54">
        <v>65000</v>
      </c>
      <c r="AB55" s="54">
        <v>65000</v>
      </c>
      <c r="AC55" s="54">
        <v>65000</v>
      </c>
      <c r="AD55" s="47"/>
      <c r="AE55" s="54">
        <v>440000</v>
      </c>
      <c r="AF55" s="53"/>
      <c r="AG55" s="47"/>
      <c r="AH55" s="53">
        <f t="shared" si="11"/>
        <v>750000</v>
      </c>
      <c r="AI55" s="51"/>
      <c r="AJ55" s="55">
        <f t="shared" si="2"/>
        <v>0</v>
      </c>
    </row>
    <row r="56" spans="1:36" s="36" customFormat="1" ht="15.75" x14ac:dyDescent="0.25">
      <c r="A56" s="64" t="s">
        <v>159</v>
      </c>
      <c r="B56" s="65" t="s">
        <v>428</v>
      </c>
      <c r="C56" s="52" t="s">
        <v>387</v>
      </c>
      <c r="D56" s="87" t="s">
        <v>45</v>
      </c>
      <c r="E56" s="52" t="s">
        <v>320</v>
      </c>
      <c r="F56" s="52">
        <v>44461</v>
      </c>
      <c r="G56" s="52">
        <v>44701</v>
      </c>
      <c r="H56" s="50">
        <f t="shared" si="10"/>
        <v>7.9734219269102988</v>
      </c>
      <c r="I56" s="53">
        <v>750000</v>
      </c>
      <c r="J56" s="53"/>
      <c r="K56" s="53"/>
      <c r="L56" s="53"/>
      <c r="M56" s="53"/>
      <c r="N56" s="53"/>
      <c r="O56" s="47"/>
      <c r="P56" s="115"/>
      <c r="Q56" s="47"/>
      <c r="R56" s="115"/>
      <c r="S56" s="115"/>
      <c r="T56" s="53"/>
      <c r="U56" s="89"/>
      <c r="V56" s="89"/>
      <c r="W56" s="89"/>
      <c r="X56" s="89"/>
      <c r="Y56" s="54">
        <v>50000</v>
      </c>
      <c r="Z56" s="54">
        <v>65000</v>
      </c>
      <c r="AA56" s="54">
        <v>65000</v>
      </c>
      <c r="AB56" s="54">
        <v>65000</v>
      </c>
      <c r="AC56" s="54">
        <v>65000</v>
      </c>
      <c r="AD56" s="47"/>
      <c r="AE56" s="54">
        <v>440000</v>
      </c>
      <c r="AF56" s="53"/>
      <c r="AG56" s="47"/>
      <c r="AH56" s="53">
        <f t="shared" si="11"/>
        <v>750000</v>
      </c>
      <c r="AI56" s="51"/>
      <c r="AJ56" s="55">
        <f t="shared" si="2"/>
        <v>0</v>
      </c>
    </row>
    <row r="57" spans="1:36" s="36" customFormat="1" ht="15.75" x14ac:dyDescent="0.25">
      <c r="A57" s="183" t="s">
        <v>340</v>
      </c>
      <c r="B57" s="184" t="s">
        <v>429</v>
      </c>
      <c r="C57" s="52" t="s">
        <v>387</v>
      </c>
      <c r="D57" s="87" t="s">
        <v>45</v>
      </c>
      <c r="E57" s="52" t="s">
        <v>320</v>
      </c>
      <c r="F57" s="52" t="s">
        <v>319</v>
      </c>
      <c r="G57" s="52" t="s">
        <v>319</v>
      </c>
      <c r="H57" s="50"/>
      <c r="I57" s="53">
        <v>3575</v>
      </c>
      <c r="J57" s="53"/>
      <c r="K57" s="53"/>
      <c r="L57" s="53"/>
      <c r="M57" s="53"/>
      <c r="N57" s="53"/>
      <c r="O57" s="47"/>
      <c r="P57" s="115"/>
      <c r="Q57" s="47"/>
      <c r="R57" s="115"/>
      <c r="S57" s="115">
        <v>3575</v>
      </c>
      <c r="T57" s="53"/>
      <c r="U57" s="89"/>
      <c r="V57" s="89"/>
      <c r="W57" s="89"/>
      <c r="X57" s="89"/>
      <c r="Y57" s="54"/>
      <c r="Z57" s="54"/>
      <c r="AA57" s="54"/>
      <c r="AB57" s="54"/>
      <c r="AC57" s="54"/>
      <c r="AD57" s="47"/>
      <c r="AE57" s="54"/>
      <c r="AF57" s="53"/>
      <c r="AG57" s="47"/>
      <c r="AH57" s="53">
        <f t="shared" si="11"/>
        <v>3575</v>
      </c>
      <c r="AI57" s="51"/>
      <c r="AJ57" s="55">
        <f t="shared" si="2"/>
        <v>0</v>
      </c>
    </row>
    <row r="58" spans="1:36" s="36" customFormat="1" ht="15.75" x14ac:dyDescent="0.25">
      <c r="A58" s="97"/>
      <c r="B58" s="98"/>
      <c r="C58" s="91"/>
      <c r="D58" s="91"/>
      <c r="E58" s="91"/>
      <c r="F58" s="91"/>
      <c r="G58" s="91"/>
      <c r="H58" s="92"/>
      <c r="I58" s="59">
        <f>SUM(I43:I56)</f>
        <v>13564568</v>
      </c>
      <c r="J58" s="59"/>
      <c r="K58" s="59"/>
      <c r="L58" s="59"/>
      <c r="M58" s="59"/>
      <c r="N58" s="59"/>
      <c r="O58" s="47"/>
      <c r="P58" s="59">
        <f>SUM(P43:P56)</f>
        <v>831737</v>
      </c>
      <c r="Q58" s="47"/>
      <c r="R58" s="59">
        <f t="shared" ref="R58:AC58" si="12">SUM(R43:R56)</f>
        <v>318620</v>
      </c>
      <c r="S58" s="59">
        <f t="shared" si="12"/>
        <v>226899</v>
      </c>
      <c r="T58" s="59">
        <f t="shared" si="12"/>
        <v>859512</v>
      </c>
      <c r="U58" s="59">
        <f t="shared" si="12"/>
        <v>875000</v>
      </c>
      <c r="V58" s="59">
        <f t="shared" si="12"/>
        <v>1033545</v>
      </c>
      <c r="W58" s="59">
        <f t="shared" si="12"/>
        <v>1025000</v>
      </c>
      <c r="X58" s="59">
        <f t="shared" si="12"/>
        <v>1091628</v>
      </c>
      <c r="Y58" s="59">
        <f t="shared" si="12"/>
        <v>1249974</v>
      </c>
      <c r="Z58" s="59">
        <f t="shared" si="12"/>
        <v>1066548</v>
      </c>
      <c r="AA58" s="59">
        <f t="shared" si="12"/>
        <v>830000</v>
      </c>
      <c r="AB58" s="59">
        <f t="shared" si="12"/>
        <v>933605</v>
      </c>
      <c r="AC58" s="59">
        <f t="shared" si="12"/>
        <v>805000</v>
      </c>
      <c r="AD58" s="47"/>
      <c r="AE58" s="59">
        <f>SUM(AE45:AE56)</f>
        <v>2417500</v>
      </c>
      <c r="AF58" s="59">
        <f>SUM(AF45:AF56)</f>
        <v>0</v>
      </c>
      <c r="AG58" s="47"/>
      <c r="AH58" s="53">
        <f t="shared" si="11"/>
        <v>13564568</v>
      </c>
      <c r="AI58" s="51"/>
      <c r="AJ58" s="55">
        <f t="shared" si="2"/>
        <v>0</v>
      </c>
    </row>
    <row r="59" spans="1:36" s="36" customFormat="1" ht="15.75" x14ac:dyDescent="0.25">
      <c r="A59" s="106" t="s">
        <v>73</v>
      </c>
      <c r="B59" s="107"/>
      <c r="C59" s="101" t="s">
        <v>45</v>
      </c>
      <c r="D59" s="102"/>
      <c r="E59" s="102"/>
      <c r="F59" s="102"/>
      <c r="G59" s="102"/>
      <c r="H59" s="84"/>
      <c r="I59" s="103"/>
      <c r="J59" s="103"/>
      <c r="K59" s="103"/>
      <c r="L59" s="103"/>
      <c r="M59" s="103"/>
      <c r="N59" s="103"/>
      <c r="O59" s="47"/>
      <c r="P59" s="85"/>
      <c r="Q59" s="47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47"/>
      <c r="AE59" s="103"/>
      <c r="AF59" s="103"/>
      <c r="AG59" s="47"/>
      <c r="AH59" s="85"/>
      <c r="AI59" s="51"/>
      <c r="AJ59" s="55">
        <f t="shared" si="2"/>
        <v>0</v>
      </c>
    </row>
    <row r="60" spans="1:36" s="36" customFormat="1" ht="15.75" x14ac:dyDescent="0.25">
      <c r="A60" s="60" t="s">
        <v>430</v>
      </c>
      <c r="B60" s="61" t="s">
        <v>431</v>
      </c>
      <c r="C60" s="52" t="s">
        <v>45</v>
      </c>
      <c r="D60" s="52" t="s">
        <v>45</v>
      </c>
      <c r="E60" s="52" t="s">
        <v>320</v>
      </c>
      <c r="F60" s="52"/>
      <c r="G60" s="52"/>
      <c r="H60" s="50"/>
      <c r="I60" s="53">
        <v>61092</v>
      </c>
      <c r="J60" s="53"/>
      <c r="K60" s="53"/>
      <c r="L60" s="53"/>
      <c r="M60" s="53"/>
      <c r="N60" s="53"/>
      <c r="O60" s="47"/>
      <c r="P60" s="115">
        <v>61092</v>
      </c>
      <c r="Q60" s="47"/>
      <c r="R60" s="115"/>
      <c r="S60" s="115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47"/>
      <c r="AE60" s="58"/>
      <c r="AF60" s="53"/>
      <c r="AG60" s="47"/>
      <c r="AH60" s="53">
        <f t="shared" si="11"/>
        <v>61092</v>
      </c>
      <c r="AI60" s="51"/>
      <c r="AJ60" s="55">
        <f t="shared" si="2"/>
        <v>0</v>
      </c>
    </row>
    <row r="61" spans="1:36" s="36" customFormat="1" ht="15.75" x14ac:dyDescent="0.25">
      <c r="A61" s="60" t="s">
        <v>432</v>
      </c>
      <c r="B61" s="61" t="s">
        <v>433</v>
      </c>
      <c r="C61" s="52" t="s">
        <v>45</v>
      </c>
      <c r="D61" s="52" t="s">
        <v>45</v>
      </c>
      <c r="E61" s="52" t="s">
        <v>320</v>
      </c>
      <c r="F61" s="52"/>
      <c r="G61" s="52"/>
      <c r="H61" s="50"/>
      <c r="I61" s="53">
        <v>61092</v>
      </c>
      <c r="J61" s="53"/>
      <c r="K61" s="53"/>
      <c r="L61" s="53"/>
      <c r="M61" s="53"/>
      <c r="N61" s="53"/>
      <c r="O61" s="47"/>
      <c r="P61" s="115">
        <v>61092</v>
      </c>
      <c r="Q61" s="47"/>
      <c r="R61" s="115"/>
      <c r="S61" s="115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47"/>
      <c r="AE61" s="58"/>
      <c r="AF61" s="53"/>
      <c r="AG61" s="47"/>
      <c r="AH61" s="53">
        <f>SUM(P61:AG61)</f>
        <v>61092</v>
      </c>
      <c r="AI61" s="51"/>
      <c r="AJ61" s="55">
        <f>I61-AH61</f>
        <v>0</v>
      </c>
    </row>
    <row r="62" spans="1:36" s="36" customFormat="1" ht="15.75" x14ac:dyDescent="0.25">
      <c r="A62" s="60" t="s">
        <v>161</v>
      </c>
      <c r="B62" s="61" t="s">
        <v>163</v>
      </c>
      <c r="C62" s="52" t="s">
        <v>45</v>
      </c>
      <c r="D62" s="52" t="s">
        <v>45</v>
      </c>
      <c r="E62" s="52" t="s">
        <v>320</v>
      </c>
      <c r="F62" s="52" t="s">
        <v>165</v>
      </c>
      <c r="G62" s="52" t="s">
        <v>165</v>
      </c>
      <c r="H62" s="50" t="s">
        <v>165</v>
      </c>
      <c r="I62" s="53">
        <v>2500000</v>
      </c>
      <c r="J62" s="53"/>
      <c r="K62" s="53"/>
      <c r="L62" s="53"/>
      <c r="M62" s="53"/>
      <c r="N62" s="53"/>
      <c r="O62" s="47"/>
      <c r="P62" s="115"/>
      <c r="Q62" s="47"/>
      <c r="R62" s="115"/>
      <c r="S62" s="115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47"/>
      <c r="AE62" s="54">
        <v>2500000</v>
      </c>
      <c r="AF62" s="53"/>
      <c r="AG62" s="47"/>
      <c r="AH62" s="53">
        <f>SUM(P62:AG62)</f>
        <v>2500000</v>
      </c>
      <c r="AI62" s="51"/>
      <c r="AJ62" s="55">
        <f>I62-AH62</f>
        <v>0</v>
      </c>
    </row>
    <row r="63" spans="1:36" s="36" customFormat="1" ht="15.75" x14ac:dyDescent="0.25">
      <c r="A63" s="34" t="s">
        <v>166</v>
      </c>
      <c r="B63" s="35" t="s">
        <v>168</v>
      </c>
      <c r="C63" s="52" t="s">
        <v>45</v>
      </c>
      <c r="D63" s="52" t="s">
        <v>371</v>
      </c>
      <c r="E63" s="52" t="s">
        <v>320</v>
      </c>
      <c r="F63" s="87" t="e">
        <f>#REF!</f>
        <v>#REF!</v>
      </c>
      <c r="G63" s="87">
        <v>44508</v>
      </c>
      <c r="H63" s="88" t="e">
        <f>((G63-F63)/7)/4.3</f>
        <v>#REF!</v>
      </c>
      <c r="I63" s="58">
        <v>1000000</v>
      </c>
      <c r="J63" s="53"/>
      <c r="K63" s="53"/>
      <c r="L63" s="53"/>
      <c r="M63" s="53"/>
      <c r="N63" s="53"/>
      <c r="O63" s="47"/>
      <c r="P63" s="115"/>
      <c r="Q63" s="47"/>
      <c r="R63" s="115"/>
      <c r="S63" s="115"/>
      <c r="T63" s="54">
        <v>75000</v>
      </c>
      <c r="U63" s="54">
        <v>100000</v>
      </c>
      <c r="V63" s="54">
        <f t="shared" ref="V63:AA63" si="13">1000000/8</f>
        <v>125000</v>
      </c>
      <c r="W63" s="54">
        <f t="shared" si="13"/>
        <v>125000</v>
      </c>
      <c r="X63" s="54">
        <f t="shared" si="13"/>
        <v>125000</v>
      </c>
      <c r="Y63" s="54">
        <f t="shared" si="13"/>
        <v>125000</v>
      </c>
      <c r="Z63" s="54">
        <f t="shared" si="13"/>
        <v>125000</v>
      </c>
      <c r="AA63" s="54">
        <f t="shared" si="13"/>
        <v>125000</v>
      </c>
      <c r="AB63" s="54">
        <v>75000</v>
      </c>
      <c r="AC63" s="53"/>
      <c r="AD63" s="47"/>
      <c r="AE63" s="53"/>
      <c r="AF63" s="53"/>
      <c r="AG63" s="47"/>
      <c r="AH63" s="53">
        <f t="shared" ref="AH63:AH68" si="14">SUM(P63:AG63)</f>
        <v>1000000</v>
      </c>
      <c r="AI63" s="51"/>
      <c r="AJ63" s="55">
        <f>I63-AH63</f>
        <v>0</v>
      </c>
    </row>
    <row r="64" spans="1:36" s="36" customFormat="1" ht="15.75" x14ac:dyDescent="0.25">
      <c r="A64" s="34" t="s">
        <v>170</v>
      </c>
      <c r="B64" s="35" t="s">
        <v>171</v>
      </c>
      <c r="C64" s="52" t="s">
        <v>45</v>
      </c>
      <c r="D64" s="52" t="s">
        <v>371</v>
      </c>
      <c r="E64" s="52" t="s">
        <v>320</v>
      </c>
      <c r="F64" s="52">
        <v>44319</v>
      </c>
      <c r="G64" s="52">
        <v>44559</v>
      </c>
      <c r="H64" s="50">
        <f>((G64-F64)/7)/4.3</f>
        <v>7.9734219269102988</v>
      </c>
      <c r="I64" s="182">
        <v>1051400</v>
      </c>
      <c r="J64" s="53"/>
      <c r="K64" s="53"/>
      <c r="L64" s="53"/>
      <c r="M64" s="53"/>
      <c r="N64" s="53"/>
      <c r="O64" s="47"/>
      <c r="P64" s="115"/>
      <c r="Q64" s="47"/>
      <c r="R64" s="115"/>
      <c r="S64" s="115"/>
      <c r="T64" s="54">
        <v>75000</v>
      </c>
      <c r="U64" s="54">
        <v>100000</v>
      </c>
      <c r="V64" s="54">
        <v>100000</v>
      </c>
      <c r="W64" s="54">
        <v>125000</v>
      </c>
      <c r="X64" s="54">
        <v>125000</v>
      </c>
      <c r="Y64" s="54">
        <v>125000</v>
      </c>
      <c r="Z64" s="54">
        <v>125000</v>
      </c>
      <c r="AA64" s="54">
        <v>125000</v>
      </c>
      <c r="AB64" s="54">
        <v>75000</v>
      </c>
      <c r="AC64" s="58">
        <v>76400</v>
      </c>
      <c r="AD64" s="47"/>
      <c r="AE64" s="53"/>
      <c r="AF64" s="53"/>
      <c r="AG64" s="47"/>
      <c r="AH64" s="53">
        <f t="shared" si="14"/>
        <v>1051400</v>
      </c>
      <c r="AI64" s="51"/>
      <c r="AJ64" s="55">
        <f>I64-AH64</f>
        <v>0</v>
      </c>
    </row>
    <row r="65" spans="1:36" s="36" customFormat="1" ht="15.75" x14ac:dyDescent="0.25">
      <c r="A65" s="64" t="s">
        <v>434</v>
      </c>
      <c r="B65" s="65" t="s">
        <v>435</v>
      </c>
      <c r="C65" s="52" t="s">
        <v>45</v>
      </c>
      <c r="D65" s="52" t="s">
        <v>45</v>
      </c>
      <c r="E65" s="52" t="s">
        <v>320</v>
      </c>
      <c r="F65" s="52" t="s">
        <v>319</v>
      </c>
      <c r="G65" s="52" t="s">
        <v>319</v>
      </c>
      <c r="H65" s="50"/>
      <c r="I65" s="189">
        <v>461956</v>
      </c>
      <c r="J65" s="53"/>
      <c r="K65" s="53"/>
      <c r="L65" s="53"/>
      <c r="M65" s="53"/>
      <c r="N65" s="53"/>
      <c r="O65" s="47"/>
      <c r="P65" s="115"/>
      <c r="Q65" s="47"/>
      <c r="R65" s="115">
        <v>353138</v>
      </c>
      <c r="S65" s="115">
        <v>108818</v>
      </c>
      <c r="T65" s="54"/>
      <c r="U65" s="53"/>
      <c r="V65" s="53"/>
      <c r="W65" s="53"/>
      <c r="X65" s="53"/>
      <c r="Y65" s="53"/>
      <c r="Z65" s="53"/>
      <c r="AA65" s="53"/>
      <c r="AB65" s="53"/>
      <c r="AC65" s="53"/>
      <c r="AD65" s="47"/>
      <c r="AE65" s="53"/>
      <c r="AF65" s="53"/>
      <c r="AG65" s="47"/>
      <c r="AH65" s="53">
        <f t="shared" si="14"/>
        <v>461956</v>
      </c>
      <c r="AI65" s="51"/>
      <c r="AJ65" s="55">
        <f t="shared" ref="AJ65:AJ96" si="15">I65-AH65</f>
        <v>0</v>
      </c>
    </row>
    <row r="66" spans="1:36" s="36" customFormat="1" ht="15.75" x14ac:dyDescent="0.25">
      <c r="A66" s="111" t="s">
        <v>174</v>
      </c>
      <c r="B66" s="112" t="s">
        <v>175</v>
      </c>
      <c r="C66" s="52" t="s">
        <v>45</v>
      </c>
      <c r="D66" s="52" t="s">
        <v>371</v>
      </c>
      <c r="E66" s="52" t="s">
        <v>320</v>
      </c>
      <c r="F66" s="52">
        <v>44317</v>
      </c>
      <c r="G66" s="52">
        <v>44497</v>
      </c>
      <c r="H66" s="50">
        <f>((G66-F66)/7)/4.3</f>
        <v>5.9800664451827243</v>
      </c>
      <c r="I66" s="53"/>
      <c r="J66" s="53"/>
      <c r="K66" s="53"/>
      <c r="L66" s="53"/>
      <c r="M66" s="53"/>
      <c r="N66" s="53"/>
      <c r="O66" s="47"/>
      <c r="P66" s="115"/>
      <c r="Q66" s="47"/>
      <c r="R66" s="115"/>
      <c r="S66" s="115"/>
      <c r="T66" s="53"/>
      <c r="U66" s="53"/>
      <c r="V66" s="54"/>
      <c r="W66" s="54"/>
      <c r="X66" s="54"/>
      <c r="Y66" s="54"/>
      <c r="Z66" s="54"/>
      <c r="AA66" s="54"/>
      <c r="AB66" s="58"/>
      <c r="AC66" s="58"/>
      <c r="AD66" s="47"/>
      <c r="AE66" s="58"/>
      <c r="AF66" s="53"/>
      <c r="AG66" s="47"/>
      <c r="AH66" s="53">
        <f t="shared" si="14"/>
        <v>0</v>
      </c>
      <c r="AI66" s="51"/>
      <c r="AJ66" s="55">
        <f t="shared" si="15"/>
        <v>0</v>
      </c>
    </row>
    <row r="67" spans="1:36" s="36" customFormat="1" ht="15.75" x14ac:dyDescent="0.25">
      <c r="A67" s="113" t="s">
        <v>176</v>
      </c>
      <c r="B67" s="114" t="s">
        <v>177</v>
      </c>
      <c r="C67" s="52" t="s">
        <v>45</v>
      </c>
      <c r="D67" s="52" t="s">
        <v>371</v>
      </c>
      <c r="E67" s="52" t="s">
        <v>320</v>
      </c>
      <c r="F67" s="52">
        <v>44331</v>
      </c>
      <c r="G67" s="52">
        <v>44511</v>
      </c>
      <c r="H67" s="50">
        <f>((G67-F67)/7)/4.3</f>
        <v>5.9800664451827243</v>
      </c>
      <c r="I67" s="53">
        <v>175000</v>
      </c>
      <c r="J67" s="53"/>
      <c r="K67" s="53"/>
      <c r="L67" s="53"/>
      <c r="M67" s="53"/>
      <c r="N67" s="53"/>
      <c r="O67" s="47"/>
      <c r="P67" s="115"/>
      <c r="Q67" s="47"/>
      <c r="R67" s="115"/>
      <c r="S67" s="115"/>
      <c r="T67" s="53"/>
      <c r="U67" s="53"/>
      <c r="V67" s="54">
        <v>25000</v>
      </c>
      <c r="W67" s="54">
        <f t="shared" ref="W67:AB67" si="16">200000/8</f>
        <v>25000</v>
      </c>
      <c r="X67" s="54">
        <f t="shared" si="16"/>
        <v>25000</v>
      </c>
      <c r="Y67" s="54">
        <f t="shared" si="16"/>
        <v>25000</v>
      </c>
      <c r="Z67" s="54">
        <f t="shared" si="16"/>
        <v>25000</v>
      </c>
      <c r="AA67" s="54">
        <f t="shared" si="16"/>
        <v>25000</v>
      </c>
      <c r="AB67" s="54">
        <f t="shared" si="16"/>
        <v>25000</v>
      </c>
      <c r="AC67" s="58"/>
      <c r="AD67" s="47"/>
      <c r="AE67" s="58"/>
      <c r="AF67" s="53"/>
      <c r="AG67" s="47"/>
      <c r="AH67" s="53">
        <f t="shared" si="14"/>
        <v>175000</v>
      </c>
      <c r="AI67" s="51"/>
      <c r="AJ67" s="55">
        <f t="shared" si="15"/>
        <v>0</v>
      </c>
    </row>
    <row r="68" spans="1:36" s="36" customFormat="1" ht="15.75" x14ac:dyDescent="0.25">
      <c r="A68" s="179" t="s">
        <v>178</v>
      </c>
      <c r="B68" s="180" t="s">
        <v>179</v>
      </c>
      <c r="C68" s="52" t="s">
        <v>45</v>
      </c>
      <c r="D68" s="52" t="s">
        <v>371</v>
      </c>
      <c r="E68" s="52" t="s">
        <v>320</v>
      </c>
      <c r="F68" s="52">
        <v>44331</v>
      </c>
      <c r="G68" s="52">
        <v>44511</v>
      </c>
      <c r="H68" s="50">
        <f>((G68-F68)/7)/4.3</f>
        <v>5.9800664451827243</v>
      </c>
      <c r="I68" s="53">
        <v>1500000</v>
      </c>
      <c r="J68" s="53"/>
      <c r="K68" s="53"/>
      <c r="L68" s="53"/>
      <c r="M68" s="53"/>
      <c r="N68" s="53"/>
      <c r="O68" s="47"/>
      <c r="P68" s="115"/>
      <c r="Q68" s="47"/>
      <c r="R68" s="115"/>
      <c r="S68" s="115"/>
      <c r="T68" s="53"/>
      <c r="U68" s="53"/>
      <c r="V68" s="58"/>
      <c r="W68" s="58"/>
      <c r="X68" s="58"/>
      <c r="Y68" s="58"/>
      <c r="Z68" s="58"/>
      <c r="AA68" s="58"/>
      <c r="AB68" s="54">
        <v>125000</v>
      </c>
      <c r="AC68" s="54">
        <v>150000</v>
      </c>
      <c r="AD68" s="47"/>
      <c r="AE68" s="54">
        <v>1225000</v>
      </c>
      <c r="AF68" s="53"/>
      <c r="AG68" s="47"/>
      <c r="AH68" s="53">
        <f t="shared" si="14"/>
        <v>1500000</v>
      </c>
      <c r="AI68" s="51"/>
      <c r="AJ68" s="55">
        <f t="shared" si="15"/>
        <v>0</v>
      </c>
    </row>
    <row r="69" spans="1:36" s="36" customFormat="1" ht="15.75" x14ac:dyDescent="0.25">
      <c r="A69" s="62" t="s">
        <v>180</v>
      </c>
      <c r="B69" s="63" t="s">
        <v>182</v>
      </c>
      <c r="C69" s="52" t="s">
        <v>45</v>
      </c>
      <c r="D69" s="52" t="s">
        <v>45</v>
      </c>
      <c r="E69" s="52" t="s">
        <v>320</v>
      </c>
      <c r="F69" s="52">
        <v>44371</v>
      </c>
      <c r="G69" s="52">
        <v>44431</v>
      </c>
      <c r="H69" s="50">
        <f t="shared" ref="H69:H76" si="17">((G69-F69)/7)/4.3</f>
        <v>1.9933554817275747</v>
      </c>
      <c r="I69" s="53">
        <v>400000</v>
      </c>
      <c r="J69" s="53"/>
      <c r="K69" s="53"/>
      <c r="L69" s="53"/>
      <c r="M69" s="53"/>
      <c r="N69" s="53"/>
      <c r="O69" s="47"/>
      <c r="P69" s="115"/>
      <c r="Q69" s="47"/>
      <c r="R69" s="115"/>
      <c r="S69" s="115"/>
      <c r="T69" s="53"/>
      <c r="U69" s="58"/>
      <c r="V69" s="54">
        <v>125000</v>
      </c>
      <c r="W69" s="54">
        <v>150000</v>
      </c>
      <c r="X69" s="54">
        <v>125000</v>
      </c>
      <c r="Y69" s="53"/>
      <c r="Z69" s="53"/>
      <c r="AA69" s="53"/>
      <c r="AB69" s="53"/>
      <c r="AC69" s="53"/>
      <c r="AD69" s="47"/>
      <c r="AE69" s="53"/>
      <c r="AF69" s="53"/>
      <c r="AG69" s="47"/>
      <c r="AH69" s="53">
        <f t="shared" si="11"/>
        <v>400000</v>
      </c>
      <c r="AI69" s="51"/>
      <c r="AJ69" s="55">
        <f t="shared" si="15"/>
        <v>0</v>
      </c>
    </row>
    <row r="70" spans="1:36" s="36" customFormat="1" ht="15.75" x14ac:dyDescent="0.25">
      <c r="A70" s="34" t="s">
        <v>185</v>
      </c>
      <c r="B70" s="35" t="s">
        <v>186</v>
      </c>
      <c r="C70" s="52" t="s">
        <v>45</v>
      </c>
      <c r="D70" s="52" t="s">
        <v>45</v>
      </c>
      <c r="E70" s="52" t="s">
        <v>320</v>
      </c>
      <c r="F70" s="52">
        <v>44372</v>
      </c>
      <c r="G70" s="52">
        <v>44673</v>
      </c>
      <c r="H70" s="50">
        <f t="shared" si="17"/>
        <v>10</v>
      </c>
      <c r="I70" s="53">
        <v>1750000</v>
      </c>
      <c r="J70" s="53"/>
      <c r="K70" s="53"/>
      <c r="L70" s="53"/>
      <c r="M70" s="53"/>
      <c r="N70" s="53"/>
      <c r="O70" s="47"/>
      <c r="P70" s="115"/>
      <c r="Q70" s="47"/>
      <c r="R70" s="115"/>
      <c r="S70" s="115"/>
      <c r="T70" s="53"/>
      <c r="U70" s="53"/>
      <c r="V70" s="54">
        <v>100000</v>
      </c>
      <c r="W70" s="54">
        <v>150000</v>
      </c>
      <c r="X70" s="54">
        <v>150000</v>
      </c>
      <c r="Y70" s="54">
        <v>150000</v>
      </c>
      <c r="Z70" s="54">
        <v>150000</v>
      </c>
      <c r="AA70" s="54">
        <v>200000</v>
      </c>
      <c r="AB70" s="54">
        <v>200000</v>
      </c>
      <c r="AC70" s="54">
        <v>200000</v>
      </c>
      <c r="AD70" s="47"/>
      <c r="AE70" s="54">
        <v>450000</v>
      </c>
      <c r="AF70" s="53"/>
      <c r="AG70" s="47"/>
      <c r="AH70" s="53">
        <f t="shared" si="11"/>
        <v>1750000</v>
      </c>
      <c r="AI70" s="51"/>
      <c r="AJ70" s="55">
        <f t="shared" si="15"/>
        <v>0</v>
      </c>
    </row>
    <row r="71" spans="1:36" s="36" customFormat="1" ht="15.75" x14ac:dyDescent="0.25">
      <c r="A71" s="34" t="s">
        <v>187</v>
      </c>
      <c r="B71" s="35" t="s">
        <v>188</v>
      </c>
      <c r="C71" s="52" t="s">
        <v>45</v>
      </c>
      <c r="D71" s="52" t="s">
        <v>45</v>
      </c>
      <c r="E71" s="52" t="s">
        <v>320</v>
      </c>
      <c r="F71" s="52">
        <v>44409</v>
      </c>
      <c r="G71" s="52">
        <v>44649</v>
      </c>
      <c r="H71" s="50">
        <f t="shared" si="17"/>
        <v>7.9734219269102988</v>
      </c>
      <c r="I71" s="53">
        <v>2500000</v>
      </c>
      <c r="J71" s="53"/>
      <c r="K71" s="53"/>
      <c r="L71" s="53"/>
      <c r="M71" s="53"/>
      <c r="N71" s="53"/>
      <c r="O71" s="47"/>
      <c r="P71" s="115"/>
      <c r="Q71" s="47"/>
      <c r="R71" s="115"/>
      <c r="S71" s="115"/>
      <c r="T71" s="53"/>
      <c r="U71" s="53"/>
      <c r="V71" s="53"/>
      <c r="W71" s="58"/>
      <c r="X71" s="58"/>
      <c r="Y71" s="54">
        <v>125000</v>
      </c>
      <c r="Z71" s="54">
        <v>250000</v>
      </c>
      <c r="AA71" s="54">
        <v>350000</v>
      </c>
      <c r="AB71" s="54">
        <v>350000</v>
      </c>
      <c r="AC71" s="54">
        <v>350000</v>
      </c>
      <c r="AD71" s="47"/>
      <c r="AE71" s="54">
        <v>1075000</v>
      </c>
      <c r="AF71" s="53"/>
      <c r="AG71" s="47"/>
      <c r="AH71" s="53">
        <f t="shared" si="11"/>
        <v>2500000</v>
      </c>
      <c r="AI71" s="51"/>
      <c r="AJ71" s="55">
        <f t="shared" si="15"/>
        <v>0</v>
      </c>
    </row>
    <row r="72" spans="1:36" s="36" customFormat="1" ht="15.75" x14ac:dyDescent="0.25">
      <c r="A72" s="34" t="s">
        <v>191</v>
      </c>
      <c r="B72" s="35" t="s">
        <v>192</v>
      </c>
      <c r="C72" s="52" t="s">
        <v>45</v>
      </c>
      <c r="D72" s="52" t="s">
        <v>45</v>
      </c>
      <c r="E72" s="52" t="s">
        <v>320</v>
      </c>
      <c r="F72" s="52">
        <v>44470</v>
      </c>
      <c r="G72" s="52">
        <v>44831</v>
      </c>
      <c r="H72" s="50">
        <f t="shared" si="17"/>
        <v>11.993355481727574</v>
      </c>
      <c r="I72" s="53">
        <v>4000000</v>
      </c>
      <c r="J72" s="53"/>
      <c r="K72" s="53"/>
      <c r="L72" s="53"/>
      <c r="M72" s="53"/>
      <c r="N72" s="53"/>
      <c r="O72" s="47"/>
      <c r="P72" s="115"/>
      <c r="Q72" s="47"/>
      <c r="R72" s="115"/>
      <c r="S72" s="115"/>
      <c r="T72" s="53"/>
      <c r="U72" s="53"/>
      <c r="V72" s="53"/>
      <c r="W72" s="58"/>
      <c r="X72" s="58"/>
      <c r="Y72" s="58"/>
      <c r="Z72" s="58"/>
      <c r="AA72" s="54">
        <v>800000</v>
      </c>
      <c r="AB72" s="54">
        <v>800000</v>
      </c>
      <c r="AC72" s="54">
        <v>800000</v>
      </c>
      <c r="AD72" s="47"/>
      <c r="AE72" s="54">
        <v>1600000</v>
      </c>
      <c r="AF72" s="53"/>
      <c r="AG72" s="47"/>
      <c r="AH72" s="53">
        <f t="shared" si="11"/>
        <v>4000000</v>
      </c>
      <c r="AI72" s="51"/>
      <c r="AJ72" s="55">
        <f t="shared" si="15"/>
        <v>0</v>
      </c>
    </row>
    <row r="73" spans="1:36" s="36" customFormat="1" ht="15.75" x14ac:dyDescent="0.25">
      <c r="A73" s="34" t="s">
        <v>194</v>
      </c>
      <c r="B73" s="35" t="s">
        <v>397</v>
      </c>
      <c r="C73" s="52" t="s">
        <v>45</v>
      </c>
      <c r="D73" s="52" t="s">
        <v>45</v>
      </c>
      <c r="E73" s="52" t="s">
        <v>320</v>
      </c>
      <c r="F73" s="52">
        <v>44403</v>
      </c>
      <c r="G73" s="52">
        <v>44704</v>
      </c>
      <c r="H73" s="50">
        <f t="shared" si="17"/>
        <v>10</v>
      </c>
      <c r="I73" s="53">
        <v>3000000</v>
      </c>
      <c r="J73" s="53"/>
      <c r="K73" s="53"/>
      <c r="L73" s="53"/>
      <c r="M73" s="53"/>
      <c r="N73" s="53"/>
      <c r="O73" s="47"/>
      <c r="P73" s="115"/>
      <c r="Q73" s="47"/>
      <c r="R73" s="115"/>
      <c r="S73" s="115"/>
      <c r="T73" s="58"/>
      <c r="U73" s="58"/>
      <c r="V73" s="58"/>
      <c r="W73" s="58"/>
      <c r="X73" s="53"/>
      <c r="Y73" s="53"/>
      <c r="Z73" s="53"/>
      <c r="AA73" s="53"/>
      <c r="AB73" s="53"/>
      <c r="AC73" s="53"/>
      <c r="AD73" s="47"/>
      <c r="AE73" s="54">
        <v>3000000</v>
      </c>
      <c r="AF73" s="53"/>
      <c r="AG73" s="47"/>
      <c r="AH73" s="53">
        <f t="shared" si="11"/>
        <v>3000000</v>
      </c>
      <c r="AI73" s="51"/>
      <c r="AJ73" s="55">
        <f t="shared" si="15"/>
        <v>0</v>
      </c>
    </row>
    <row r="74" spans="1:36" s="36" customFormat="1" ht="15.75" x14ac:dyDescent="0.25">
      <c r="A74" s="185" t="s">
        <v>197</v>
      </c>
      <c r="B74" s="186" t="s">
        <v>198</v>
      </c>
      <c r="C74" s="52" t="s">
        <v>45</v>
      </c>
      <c r="D74" s="52" t="s">
        <v>45</v>
      </c>
      <c r="E74" s="52" t="s">
        <v>320</v>
      </c>
      <c r="F74" s="52"/>
      <c r="G74" s="52"/>
      <c r="H74" s="50"/>
      <c r="I74" s="182">
        <v>500577</v>
      </c>
      <c r="J74" s="53"/>
      <c r="K74" s="53"/>
      <c r="L74" s="53"/>
      <c r="M74" s="53"/>
      <c r="N74" s="53"/>
      <c r="O74" s="47"/>
      <c r="P74" s="115"/>
      <c r="Q74" s="47"/>
      <c r="R74" s="115"/>
      <c r="S74" s="115">
        <v>17615</v>
      </c>
      <c r="T74" s="58"/>
      <c r="U74" s="58"/>
      <c r="V74" s="58"/>
      <c r="W74" s="58"/>
      <c r="X74" s="53"/>
      <c r="Y74" s="53"/>
      <c r="Z74" s="53"/>
      <c r="AA74" s="53"/>
      <c r="AB74" s="53"/>
      <c r="AC74" s="53"/>
      <c r="AD74" s="47"/>
      <c r="AE74" s="54">
        <v>482962</v>
      </c>
      <c r="AF74" s="53"/>
      <c r="AG74" s="47"/>
      <c r="AH74" s="53">
        <f t="shared" si="11"/>
        <v>500577</v>
      </c>
      <c r="AI74" s="51"/>
      <c r="AJ74" s="55">
        <f t="shared" si="15"/>
        <v>0</v>
      </c>
    </row>
    <row r="75" spans="1:36" s="36" customFormat="1" ht="15.75" x14ac:dyDescent="0.25">
      <c r="A75" s="34" t="s">
        <v>199</v>
      </c>
      <c r="B75" s="35" t="s">
        <v>436</v>
      </c>
      <c r="C75" s="52" t="s">
        <v>45</v>
      </c>
      <c r="D75" s="52" t="s">
        <v>45</v>
      </c>
      <c r="E75" s="52" t="s">
        <v>320</v>
      </c>
      <c r="F75" s="52">
        <f>'Sheet 2'!T23</f>
        <v>44417</v>
      </c>
      <c r="G75" s="52">
        <f>'Sheet 2'!U23</f>
        <v>44657.8</v>
      </c>
      <c r="H75" s="50">
        <f t="shared" si="17"/>
        <v>8.0000000000000977</v>
      </c>
      <c r="I75" s="53">
        <v>1500000</v>
      </c>
      <c r="J75" s="53"/>
      <c r="K75" s="53"/>
      <c r="L75" s="53"/>
      <c r="M75" s="53"/>
      <c r="N75" s="53"/>
      <c r="O75" s="47"/>
      <c r="P75" s="115"/>
      <c r="Q75" s="47"/>
      <c r="R75" s="115"/>
      <c r="S75" s="115"/>
      <c r="T75" s="58"/>
      <c r="U75" s="58"/>
      <c r="V75" s="58"/>
      <c r="W75" s="58"/>
      <c r="X75" s="53"/>
      <c r="Y75" s="53"/>
      <c r="Z75" s="53"/>
      <c r="AA75" s="53"/>
      <c r="AB75" s="53"/>
      <c r="AC75" s="53"/>
      <c r="AD75" s="47"/>
      <c r="AE75" s="54">
        <v>1500000</v>
      </c>
      <c r="AF75" s="53"/>
      <c r="AG75" s="47"/>
      <c r="AH75" s="53">
        <f t="shared" si="11"/>
        <v>1500000</v>
      </c>
      <c r="AI75" s="51"/>
      <c r="AJ75" s="55">
        <f t="shared" si="15"/>
        <v>0</v>
      </c>
    </row>
    <row r="76" spans="1:36" s="36" customFormat="1" ht="15.75" x14ac:dyDescent="0.25">
      <c r="A76" s="34" t="s">
        <v>201</v>
      </c>
      <c r="B76" s="35" t="s">
        <v>437</v>
      </c>
      <c r="C76" s="52" t="s">
        <v>45</v>
      </c>
      <c r="D76" s="52" t="s">
        <v>45</v>
      </c>
      <c r="E76" s="52" t="s">
        <v>320</v>
      </c>
      <c r="F76" s="52"/>
      <c r="G76" s="52"/>
      <c r="H76" s="50">
        <f t="shared" si="17"/>
        <v>0</v>
      </c>
      <c r="I76" s="53">
        <v>2000000</v>
      </c>
      <c r="J76" s="53"/>
      <c r="K76" s="53"/>
      <c r="L76" s="53"/>
      <c r="M76" s="53"/>
      <c r="N76" s="53"/>
      <c r="O76" s="47"/>
      <c r="P76" s="115"/>
      <c r="Q76" s="47"/>
      <c r="R76" s="115"/>
      <c r="S76" s="115"/>
      <c r="T76" s="58"/>
      <c r="U76" s="58"/>
      <c r="V76" s="58"/>
      <c r="W76" s="58"/>
      <c r="X76" s="53"/>
      <c r="Y76" s="53"/>
      <c r="Z76" s="53"/>
      <c r="AA76" s="53"/>
      <c r="AB76" s="53"/>
      <c r="AC76" s="53"/>
      <c r="AD76" s="47"/>
      <c r="AE76" s="54">
        <v>2000000</v>
      </c>
      <c r="AF76" s="53"/>
      <c r="AG76" s="47"/>
      <c r="AH76" s="53">
        <f t="shared" si="11"/>
        <v>2000000</v>
      </c>
      <c r="AI76" s="51"/>
      <c r="AJ76" s="55">
        <f t="shared" si="15"/>
        <v>0</v>
      </c>
    </row>
    <row r="77" spans="1:36" s="36" customFormat="1" ht="15.75" x14ac:dyDescent="0.25">
      <c r="A77" s="34" t="s">
        <v>203</v>
      </c>
      <c r="B77" s="35" t="s">
        <v>204</v>
      </c>
      <c r="C77" s="52" t="s">
        <v>45</v>
      </c>
      <c r="D77" s="52" t="s">
        <v>45</v>
      </c>
      <c r="E77" s="52" t="s">
        <v>320</v>
      </c>
      <c r="F77" s="52"/>
      <c r="G77" s="52"/>
      <c r="H77" s="50"/>
      <c r="I77" s="53">
        <v>10000000</v>
      </c>
      <c r="J77" s="53"/>
      <c r="K77" s="53"/>
      <c r="L77" s="53"/>
      <c r="M77" s="53"/>
      <c r="N77" s="53"/>
      <c r="O77" s="47"/>
      <c r="P77" s="115"/>
      <c r="Q77" s="47"/>
      <c r="R77" s="115"/>
      <c r="S77" s="115"/>
      <c r="T77" s="58"/>
      <c r="U77" s="58"/>
      <c r="V77" s="58"/>
      <c r="W77" s="54">
        <v>125000</v>
      </c>
      <c r="X77" s="54">
        <v>500000</v>
      </c>
      <c r="Y77" s="54"/>
      <c r="Z77" s="54"/>
      <c r="AA77" s="54"/>
      <c r="AB77" s="54">
        <v>1250000</v>
      </c>
      <c r="AC77" s="54">
        <v>2000000</v>
      </c>
      <c r="AD77" s="47"/>
      <c r="AE77" s="54">
        <v>6125000</v>
      </c>
      <c r="AF77" s="53"/>
      <c r="AG77" s="47"/>
      <c r="AH77" s="53">
        <f t="shared" si="11"/>
        <v>10000000</v>
      </c>
      <c r="AI77" s="51"/>
      <c r="AJ77" s="55">
        <f t="shared" si="15"/>
        <v>0</v>
      </c>
    </row>
    <row r="78" spans="1:36" s="36" customFormat="1" ht="15.75" x14ac:dyDescent="0.25">
      <c r="A78" s="34" t="s">
        <v>206</v>
      </c>
      <c r="B78" s="35" t="s">
        <v>207</v>
      </c>
      <c r="C78" s="52" t="s">
        <v>45</v>
      </c>
      <c r="D78" s="52" t="s">
        <v>45</v>
      </c>
      <c r="E78" s="52" t="s">
        <v>320</v>
      </c>
      <c r="F78" s="52"/>
      <c r="G78" s="52"/>
      <c r="H78" s="50"/>
      <c r="I78" s="53"/>
      <c r="J78" s="53"/>
      <c r="K78" s="53"/>
      <c r="L78" s="53"/>
      <c r="M78" s="53"/>
      <c r="N78" s="53"/>
      <c r="O78" s="47"/>
      <c r="P78" s="115"/>
      <c r="Q78" s="47"/>
      <c r="R78" s="115"/>
      <c r="S78" s="115"/>
      <c r="T78" s="58"/>
      <c r="U78" s="58"/>
      <c r="V78" s="58"/>
      <c r="W78" s="58"/>
      <c r="X78" s="53"/>
      <c r="Y78" s="53"/>
      <c r="Z78" s="53"/>
      <c r="AA78" s="53"/>
      <c r="AB78" s="53"/>
      <c r="AC78" s="53"/>
      <c r="AD78" s="47"/>
      <c r="AE78" s="53"/>
      <c r="AF78" s="53"/>
      <c r="AG78" s="47"/>
      <c r="AH78" s="53">
        <f t="shared" si="11"/>
        <v>0</v>
      </c>
      <c r="AI78" s="51"/>
      <c r="AJ78" s="55">
        <f t="shared" si="15"/>
        <v>0</v>
      </c>
    </row>
    <row r="79" spans="1:36" s="36" customFormat="1" ht="15.75" x14ac:dyDescent="0.25">
      <c r="A79" s="34" t="s">
        <v>208</v>
      </c>
      <c r="B79" s="35" t="s">
        <v>209</v>
      </c>
      <c r="C79" s="52" t="s">
        <v>45</v>
      </c>
      <c r="D79" s="52" t="s">
        <v>45</v>
      </c>
      <c r="E79" s="52" t="s">
        <v>320</v>
      </c>
      <c r="F79" s="52"/>
      <c r="G79" s="52"/>
      <c r="H79" s="50"/>
      <c r="I79" s="53">
        <v>1750000</v>
      </c>
      <c r="J79" s="53"/>
      <c r="K79" s="53"/>
      <c r="L79" s="53"/>
      <c r="M79" s="53"/>
      <c r="N79" s="53"/>
      <c r="O79" s="47"/>
      <c r="P79" s="115"/>
      <c r="Q79" s="47"/>
      <c r="R79" s="115"/>
      <c r="S79" s="115"/>
      <c r="T79" s="58"/>
      <c r="U79" s="58"/>
      <c r="V79" s="58"/>
      <c r="W79" s="58"/>
      <c r="X79" s="53"/>
      <c r="Y79" s="53"/>
      <c r="Z79" s="53"/>
      <c r="AA79" s="53"/>
      <c r="AB79" s="53"/>
      <c r="AC79" s="53"/>
      <c r="AD79" s="47"/>
      <c r="AE79" s="54">
        <v>1750000</v>
      </c>
      <c r="AF79" s="53"/>
      <c r="AG79" s="47"/>
      <c r="AH79" s="53">
        <f t="shared" si="11"/>
        <v>1750000</v>
      </c>
      <c r="AI79" s="51"/>
      <c r="AJ79" s="55">
        <f t="shared" si="15"/>
        <v>0</v>
      </c>
    </row>
    <row r="80" spans="1:36" s="36" customFormat="1" ht="15.75" x14ac:dyDescent="0.25">
      <c r="A80" s="34" t="s">
        <v>210</v>
      </c>
      <c r="B80" s="35" t="s">
        <v>211</v>
      </c>
      <c r="C80" s="52" t="s">
        <v>45</v>
      </c>
      <c r="D80" s="52" t="s">
        <v>45</v>
      </c>
      <c r="E80" s="52" t="s">
        <v>320</v>
      </c>
      <c r="F80" s="52"/>
      <c r="G80" s="52"/>
      <c r="H80" s="50"/>
      <c r="I80" s="53"/>
      <c r="J80" s="53"/>
      <c r="K80" s="53"/>
      <c r="L80" s="53"/>
      <c r="M80" s="53"/>
      <c r="N80" s="53"/>
      <c r="O80" s="47"/>
      <c r="P80" s="115"/>
      <c r="Q80" s="47"/>
      <c r="R80" s="115"/>
      <c r="S80" s="115"/>
      <c r="T80" s="58"/>
      <c r="U80" s="58"/>
      <c r="V80" s="58"/>
      <c r="W80" s="58"/>
      <c r="X80" s="53"/>
      <c r="Y80" s="53"/>
      <c r="Z80" s="53"/>
      <c r="AA80" s="53"/>
      <c r="AB80" s="53"/>
      <c r="AC80" s="53"/>
      <c r="AD80" s="47"/>
      <c r="AE80" s="53"/>
      <c r="AF80" s="53"/>
      <c r="AG80" s="47"/>
      <c r="AH80" s="53">
        <f t="shared" si="11"/>
        <v>0</v>
      </c>
      <c r="AI80" s="51"/>
      <c r="AJ80" s="55">
        <f t="shared" si="15"/>
        <v>0</v>
      </c>
    </row>
    <row r="81" spans="1:36" s="36" customFormat="1" ht="15.75" x14ac:dyDescent="0.25">
      <c r="A81" s="34" t="s">
        <v>210</v>
      </c>
      <c r="B81" s="35" t="s">
        <v>438</v>
      </c>
      <c r="C81" s="52" t="s">
        <v>45</v>
      </c>
      <c r="D81" s="52" t="s">
        <v>45</v>
      </c>
      <c r="E81" s="52" t="s">
        <v>320</v>
      </c>
      <c r="F81" s="52"/>
      <c r="G81" s="52"/>
      <c r="H81" s="50"/>
      <c r="I81" s="53"/>
      <c r="J81" s="53"/>
      <c r="K81" s="53"/>
      <c r="L81" s="53"/>
      <c r="M81" s="53"/>
      <c r="N81" s="53"/>
      <c r="O81" s="47"/>
      <c r="P81" s="115"/>
      <c r="Q81" s="47"/>
      <c r="R81" s="115"/>
      <c r="S81" s="115"/>
      <c r="T81" s="58"/>
      <c r="U81" s="58"/>
      <c r="V81" s="58"/>
      <c r="W81" s="58"/>
      <c r="X81" s="53"/>
      <c r="Y81" s="53"/>
      <c r="Z81" s="53"/>
      <c r="AA81" s="53"/>
      <c r="AB81" s="53"/>
      <c r="AC81" s="53"/>
      <c r="AD81" s="47"/>
      <c r="AE81" s="53"/>
      <c r="AF81" s="53"/>
      <c r="AG81" s="47"/>
      <c r="AH81" s="53">
        <f t="shared" si="11"/>
        <v>0</v>
      </c>
      <c r="AI81" s="51"/>
      <c r="AJ81" s="55">
        <f t="shared" si="15"/>
        <v>0</v>
      </c>
    </row>
    <row r="82" spans="1:36" s="36" customFormat="1" ht="15.75" x14ac:dyDescent="0.25">
      <c r="A82" s="34" t="s">
        <v>210</v>
      </c>
      <c r="B82" s="35" t="s">
        <v>439</v>
      </c>
      <c r="C82" s="52" t="s">
        <v>45</v>
      </c>
      <c r="D82" s="52" t="s">
        <v>45</v>
      </c>
      <c r="E82" s="52" t="s">
        <v>320</v>
      </c>
      <c r="F82" s="52"/>
      <c r="G82" s="52"/>
      <c r="H82" s="50"/>
      <c r="I82" s="53"/>
      <c r="J82" s="53"/>
      <c r="K82" s="53"/>
      <c r="L82" s="53"/>
      <c r="M82" s="53"/>
      <c r="N82" s="53"/>
      <c r="O82" s="47"/>
      <c r="P82" s="115"/>
      <c r="Q82" s="47"/>
      <c r="R82" s="115"/>
      <c r="S82" s="115"/>
      <c r="T82" s="58"/>
      <c r="U82" s="58"/>
      <c r="V82" s="58"/>
      <c r="W82" s="58"/>
      <c r="X82" s="53"/>
      <c r="Y82" s="53"/>
      <c r="Z82" s="53"/>
      <c r="AA82" s="53"/>
      <c r="AB82" s="53"/>
      <c r="AC82" s="53"/>
      <c r="AD82" s="47"/>
      <c r="AE82" s="53"/>
      <c r="AF82" s="53"/>
      <c r="AG82" s="47"/>
      <c r="AH82" s="53">
        <f t="shared" si="11"/>
        <v>0</v>
      </c>
      <c r="AI82" s="51"/>
      <c r="AJ82" s="55">
        <f t="shared" si="15"/>
        <v>0</v>
      </c>
    </row>
    <row r="83" spans="1:36" s="36" customFormat="1" ht="15.75" x14ac:dyDescent="0.25">
      <c r="A83" s="34" t="s">
        <v>210</v>
      </c>
      <c r="B83" s="35" t="s">
        <v>440</v>
      </c>
      <c r="C83" s="52" t="s">
        <v>45</v>
      </c>
      <c r="D83" s="52" t="s">
        <v>45</v>
      </c>
      <c r="E83" s="52" t="s">
        <v>320</v>
      </c>
      <c r="F83" s="52"/>
      <c r="G83" s="52"/>
      <c r="H83" s="50"/>
      <c r="I83" s="53"/>
      <c r="J83" s="53"/>
      <c r="K83" s="53"/>
      <c r="L83" s="53"/>
      <c r="M83" s="53"/>
      <c r="N83" s="53"/>
      <c r="O83" s="47"/>
      <c r="P83" s="115"/>
      <c r="Q83" s="47"/>
      <c r="R83" s="115"/>
      <c r="S83" s="115"/>
      <c r="T83" s="58"/>
      <c r="U83" s="58"/>
      <c r="V83" s="58"/>
      <c r="W83" s="58"/>
      <c r="X83" s="53"/>
      <c r="Y83" s="53"/>
      <c r="Z83" s="53"/>
      <c r="AA83" s="53"/>
      <c r="AB83" s="53"/>
      <c r="AC83" s="53"/>
      <c r="AD83" s="47"/>
      <c r="AE83" s="53"/>
      <c r="AF83" s="53"/>
      <c r="AG83" s="47"/>
      <c r="AH83" s="53">
        <f t="shared" si="11"/>
        <v>0</v>
      </c>
      <c r="AI83" s="51"/>
      <c r="AJ83" s="55">
        <f t="shared" si="15"/>
        <v>0</v>
      </c>
    </row>
    <row r="84" spans="1:36" s="36" customFormat="1" ht="15.75" x14ac:dyDescent="0.25">
      <c r="A84" s="34" t="s">
        <v>215</v>
      </c>
      <c r="B84" s="35" t="s">
        <v>216</v>
      </c>
      <c r="C84" s="52" t="s">
        <v>45</v>
      </c>
      <c r="D84" s="52" t="s">
        <v>45</v>
      </c>
      <c r="E84" s="52" t="s">
        <v>320</v>
      </c>
      <c r="F84" s="52"/>
      <c r="G84" s="52"/>
      <c r="H84" s="50"/>
      <c r="I84" s="182">
        <v>89724</v>
      </c>
      <c r="J84" s="53"/>
      <c r="K84" s="53"/>
      <c r="L84" s="53"/>
      <c r="M84" s="53"/>
      <c r="N84" s="53"/>
      <c r="O84" s="47"/>
      <c r="P84" s="115"/>
      <c r="Q84" s="47"/>
      <c r="R84" s="115"/>
      <c r="S84" s="115"/>
      <c r="T84" s="58"/>
      <c r="U84" s="58"/>
      <c r="V84" s="58"/>
      <c r="W84" s="58"/>
      <c r="X84" s="53"/>
      <c r="Y84" s="53"/>
      <c r="Z84" s="53"/>
      <c r="AA84" s="53"/>
      <c r="AB84" s="53"/>
      <c r="AC84" s="53"/>
      <c r="AD84" s="47"/>
      <c r="AE84" s="54">
        <v>89724</v>
      </c>
      <c r="AF84" s="53"/>
      <c r="AG84" s="47"/>
      <c r="AH84" s="53">
        <f t="shared" si="11"/>
        <v>89724</v>
      </c>
      <c r="AI84" s="51"/>
      <c r="AJ84" s="55">
        <f t="shared" si="15"/>
        <v>0</v>
      </c>
    </row>
    <row r="85" spans="1:36" s="36" customFormat="1" ht="15.75" x14ac:dyDescent="0.25">
      <c r="A85" s="34" t="s">
        <v>210</v>
      </c>
      <c r="B85" s="35" t="s">
        <v>217</v>
      </c>
      <c r="C85" s="52" t="s">
        <v>45</v>
      </c>
      <c r="D85" s="52" t="s">
        <v>45</v>
      </c>
      <c r="E85" s="52" t="s">
        <v>320</v>
      </c>
      <c r="F85" s="52"/>
      <c r="G85" s="52"/>
      <c r="H85" s="50"/>
      <c r="I85" s="53"/>
      <c r="J85" s="53"/>
      <c r="K85" s="53"/>
      <c r="L85" s="53"/>
      <c r="M85" s="53"/>
      <c r="N85" s="53"/>
      <c r="O85" s="47"/>
      <c r="P85" s="115"/>
      <c r="Q85" s="47"/>
      <c r="R85" s="115"/>
      <c r="S85" s="115"/>
      <c r="T85" s="58"/>
      <c r="U85" s="58"/>
      <c r="V85" s="58"/>
      <c r="W85" s="58"/>
      <c r="X85" s="53"/>
      <c r="Y85" s="53"/>
      <c r="Z85" s="53"/>
      <c r="AA85" s="53"/>
      <c r="AB85" s="53"/>
      <c r="AC85" s="53"/>
      <c r="AD85" s="47"/>
      <c r="AE85" s="53"/>
      <c r="AF85" s="53"/>
      <c r="AG85" s="47"/>
      <c r="AH85" s="53">
        <f t="shared" si="11"/>
        <v>0</v>
      </c>
      <c r="AI85" s="51"/>
      <c r="AJ85" s="55">
        <f t="shared" si="15"/>
        <v>0</v>
      </c>
    </row>
    <row r="86" spans="1:36" s="36" customFormat="1" ht="15.75" x14ac:dyDescent="0.25">
      <c r="A86" s="34" t="s">
        <v>210</v>
      </c>
      <c r="B86" s="35" t="s">
        <v>211</v>
      </c>
      <c r="C86" s="52" t="s">
        <v>45</v>
      </c>
      <c r="D86" s="52" t="s">
        <v>45</v>
      </c>
      <c r="E86" s="52" t="s">
        <v>320</v>
      </c>
      <c r="F86" s="52"/>
      <c r="G86" s="52"/>
      <c r="H86" s="50"/>
      <c r="I86" s="53"/>
      <c r="J86" s="53"/>
      <c r="K86" s="53"/>
      <c r="L86" s="53"/>
      <c r="M86" s="53"/>
      <c r="N86" s="53"/>
      <c r="O86" s="47"/>
      <c r="P86" s="115"/>
      <c r="Q86" s="47"/>
      <c r="R86" s="115"/>
      <c r="S86" s="115"/>
      <c r="T86" s="58"/>
      <c r="U86" s="58"/>
      <c r="V86" s="58"/>
      <c r="W86" s="58"/>
      <c r="X86" s="53"/>
      <c r="Y86" s="53"/>
      <c r="Z86" s="53"/>
      <c r="AA86" s="53"/>
      <c r="AB86" s="53"/>
      <c r="AC86" s="53"/>
      <c r="AD86" s="47"/>
      <c r="AE86" s="53"/>
      <c r="AF86" s="53"/>
      <c r="AG86" s="47"/>
      <c r="AH86" s="53">
        <f t="shared" si="11"/>
        <v>0</v>
      </c>
      <c r="AI86" s="51"/>
      <c r="AJ86" s="55">
        <f t="shared" si="15"/>
        <v>0</v>
      </c>
    </row>
    <row r="87" spans="1:36" s="36" customFormat="1" ht="15.75" x14ac:dyDescent="0.25">
      <c r="A87" s="34" t="s">
        <v>210</v>
      </c>
      <c r="B87" s="35" t="s">
        <v>218</v>
      </c>
      <c r="C87" s="52" t="s">
        <v>45</v>
      </c>
      <c r="D87" s="52" t="s">
        <v>45</v>
      </c>
      <c r="E87" s="52" t="s">
        <v>320</v>
      </c>
      <c r="F87" s="52"/>
      <c r="G87" s="52"/>
      <c r="H87" s="50"/>
      <c r="I87" s="53"/>
      <c r="J87" s="53"/>
      <c r="K87" s="53"/>
      <c r="L87" s="53"/>
      <c r="M87" s="53"/>
      <c r="N87" s="53"/>
      <c r="O87" s="47"/>
      <c r="P87" s="115"/>
      <c r="Q87" s="47"/>
      <c r="R87" s="115"/>
      <c r="S87" s="115"/>
      <c r="T87" s="58"/>
      <c r="U87" s="58"/>
      <c r="V87" s="58"/>
      <c r="W87" s="58"/>
      <c r="X87" s="53"/>
      <c r="Y87" s="53"/>
      <c r="Z87" s="53"/>
      <c r="AA87" s="53"/>
      <c r="AB87" s="53"/>
      <c r="AC87" s="53"/>
      <c r="AD87" s="47"/>
      <c r="AE87" s="53"/>
      <c r="AF87" s="53"/>
      <c r="AG87" s="47"/>
      <c r="AH87" s="53">
        <f t="shared" si="11"/>
        <v>0</v>
      </c>
      <c r="AI87" s="51"/>
      <c r="AJ87" s="55">
        <f t="shared" si="15"/>
        <v>0</v>
      </c>
    </row>
    <row r="88" spans="1:36" s="36" customFormat="1" ht="15.75" x14ac:dyDescent="0.25">
      <c r="A88" s="34" t="s">
        <v>210</v>
      </c>
      <c r="B88" s="35" t="s">
        <v>219</v>
      </c>
      <c r="C88" s="52" t="s">
        <v>45</v>
      </c>
      <c r="D88" s="52" t="s">
        <v>45</v>
      </c>
      <c r="E88" s="52" t="s">
        <v>320</v>
      </c>
      <c r="F88" s="52"/>
      <c r="G88" s="52"/>
      <c r="H88" s="50"/>
      <c r="I88" s="53"/>
      <c r="J88" s="53"/>
      <c r="K88" s="53"/>
      <c r="L88" s="53"/>
      <c r="M88" s="53"/>
      <c r="N88" s="53"/>
      <c r="O88" s="47"/>
      <c r="P88" s="115"/>
      <c r="Q88" s="47"/>
      <c r="R88" s="115"/>
      <c r="S88" s="115"/>
      <c r="T88" s="58"/>
      <c r="U88" s="58"/>
      <c r="V88" s="58"/>
      <c r="W88" s="58"/>
      <c r="X88" s="53"/>
      <c r="Y88" s="53"/>
      <c r="Z88" s="53"/>
      <c r="AA88" s="53"/>
      <c r="AB88" s="53"/>
      <c r="AC88" s="53"/>
      <c r="AD88" s="47"/>
      <c r="AE88" s="53"/>
      <c r="AF88" s="53"/>
      <c r="AG88" s="47"/>
      <c r="AH88" s="53">
        <f t="shared" si="11"/>
        <v>0</v>
      </c>
      <c r="AI88" s="51"/>
      <c r="AJ88" s="55">
        <f t="shared" si="15"/>
        <v>0</v>
      </c>
    </row>
    <row r="89" spans="1:36" s="36" customFormat="1" ht="15.75" x14ac:dyDescent="0.25">
      <c r="A89" s="34" t="s">
        <v>210</v>
      </c>
      <c r="B89" s="35" t="s">
        <v>441</v>
      </c>
      <c r="C89" s="52" t="s">
        <v>45</v>
      </c>
      <c r="D89" s="52" t="s">
        <v>45</v>
      </c>
      <c r="E89" s="52" t="s">
        <v>320</v>
      </c>
      <c r="F89" s="52"/>
      <c r="G89" s="52"/>
      <c r="H89" s="50"/>
      <c r="I89" s="53"/>
      <c r="J89" s="53"/>
      <c r="K89" s="53"/>
      <c r="L89" s="53"/>
      <c r="M89" s="53"/>
      <c r="N89" s="53"/>
      <c r="O89" s="47"/>
      <c r="P89" s="115"/>
      <c r="Q89" s="47"/>
      <c r="R89" s="115"/>
      <c r="S89" s="115"/>
      <c r="T89" s="58"/>
      <c r="U89" s="58"/>
      <c r="V89" s="58"/>
      <c r="W89" s="58"/>
      <c r="X89" s="53"/>
      <c r="Y89" s="53"/>
      <c r="Z89" s="53"/>
      <c r="AA89" s="53"/>
      <c r="AB89" s="53"/>
      <c r="AC89" s="53"/>
      <c r="AD89" s="47"/>
      <c r="AE89" s="53"/>
      <c r="AF89" s="53"/>
      <c r="AG89" s="47"/>
      <c r="AH89" s="53">
        <f t="shared" si="11"/>
        <v>0</v>
      </c>
      <c r="AI89" s="51"/>
      <c r="AJ89" s="55">
        <f t="shared" si="15"/>
        <v>0</v>
      </c>
    </row>
    <row r="90" spans="1:36" s="36" customFormat="1" ht="15.75" x14ac:dyDescent="0.25">
      <c r="A90" s="34" t="s">
        <v>210</v>
      </c>
      <c r="B90" s="35" t="s">
        <v>221</v>
      </c>
      <c r="C90" s="52" t="s">
        <v>45</v>
      </c>
      <c r="D90" s="52" t="s">
        <v>45</v>
      </c>
      <c r="E90" s="52" t="s">
        <v>320</v>
      </c>
      <c r="F90" s="52"/>
      <c r="G90" s="52"/>
      <c r="H90" s="50"/>
      <c r="I90" s="53"/>
      <c r="J90" s="53"/>
      <c r="K90" s="53"/>
      <c r="L90" s="53"/>
      <c r="M90" s="53"/>
      <c r="N90" s="53"/>
      <c r="O90" s="47"/>
      <c r="P90" s="115"/>
      <c r="Q90" s="47"/>
      <c r="R90" s="115"/>
      <c r="S90" s="115"/>
      <c r="T90" s="58"/>
      <c r="U90" s="58"/>
      <c r="V90" s="58"/>
      <c r="W90" s="58"/>
      <c r="X90" s="53"/>
      <c r="Y90" s="53"/>
      <c r="Z90" s="53"/>
      <c r="AA90" s="53"/>
      <c r="AB90" s="53"/>
      <c r="AC90" s="53"/>
      <c r="AD90" s="47"/>
      <c r="AE90" s="53"/>
      <c r="AF90" s="53"/>
      <c r="AG90" s="47"/>
      <c r="AH90" s="53">
        <f t="shared" si="11"/>
        <v>0</v>
      </c>
      <c r="AI90" s="51"/>
      <c r="AJ90" s="55">
        <f t="shared" si="15"/>
        <v>0</v>
      </c>
    </row>
    <row r="91" spans="1:36" s="36" customFormat="1" ht="15.75" x14ac:dyDescent="0.25">
      <c r="A91" s="34" t="s">
        <v>210</v>
      </c>
      <c r="B91" s="35" t="s">
        <v>223</v>
      </c>
      <c r="C91" s="52" t="s">
        <v>45</v>
      </c>
      <c r="D91" s="52" t="s">
        <v>45</v>
      </c>
      <c r="E91" s="52" t="s">
        <v>320</v>
      </c>
      <c r="F91" s="52"/>
      <c r="G91" s="52"/>
      <c r="H91" s="50"/>
      <c r="I91" s="53">
        <v>90000</v>
      </c>
      <c r="J91" s="53"/>
      <c r="K91" s="53"/>
      <c r="L91" s="53"/>
      <c r="M91" s="53"/>
      <c r="N91" s="53"/>
      <c r="O91" s="47"/>
      <c r="P91" s="115"/>
      <c r="Q91" s="47"/>
      <c r="R91" s="115"/>
      <c r="S91" s="115"/>
      <c r="T91" s="58"/>
      <c r="U91" s="58"/>
      <c r="V91" s="58"/>
      <c r="W91" s="58"/>
      <c r="X91" s="53"/>
      <c r="Y91" s="53"/>
      <c r="Z91" s="53"/>
      <c r="AA91" s="53"/>
      <c r="AB91" s="53"/>
      <c r="AC91" s="53"/>
      <c r="AD91" s="47"/>
      <c r="AE91" s="54">
        <v>90000</v>
      </c>
      <c r="AF91" s="53"/>
      <c r="AG91" s="47"/>
      <c r="AH91" s="53">
        <f t="shared" si="11"/>
        <v>90000</v>
      </c>
      <c r="AI91" s="51"/>
      <c r="AJ91" s="55">
        <f t="shared" si="15"/>
        <v>0</v>
      </c>
    </row>
    <row r="92" spans="1:36" s="36" customFormat="1" ht="15.75" x14ac:dyDescent="0.25">
      <c r="A92" s="34" t="s">
        <v>398</v>
      </c>
      <c r="B92" s="35" t="s">
        <v>225</v>
      </c>
      <c r="C92" s="52" t="s">
        <v>45</v>
      </c>
      <c r="D92" s="52" t="s">
        <v>45</v>
      </c>
      <c r="E92" s="52" t="s">
        <v>320</v>
      </c>
      <c r="F92" s="52">
        <v>44409</v>
      </c>
      <c r="G92" s="52">
        <v>44649</v>
      </c>
      <c r="H92" s="50"/>
      <c r="I92" s="53">
        <v>1500000</v>
      </c>
      <c r="J92" s="53"/>
      <c r="K92" s="53"/>
      <c r="L92" s="53"/>
      <c r="M92" s="53"/>
      <c r="N92" s="53"/>
      <c r="O92" s="47"/>
      <c r="P92" s="115"/>
      <c r="Q92" s="47"/>
      <c r="R92" s="115"/>
      <c r="S92" s="115"/>
      <c r="T92" s="58"/>
      <c r="U92" s="58"/>
      <c r="V92" s="58"/>
      <c r="W92" s="58"/>
      <c r="X92" s="53"/>
      <c r="Y92" s="53"/>
      <c r="Z92" s="53"/>
      <c r="AA92" s="53"/>
      <c r="AB92" s="53"/>
      <c r="AC92" s="53"/>
      <c r="AD92" s="47"/>
      <c r="AE92" s="54">
        <v>1500000</v>
      </c>
      <c r="AF92" s="53"/>
      <c r="AG92" s="47"/>
      <c r="AH92" s="53">
        <f t="shared" si="11"/>
        <v>1500000</v>
      </c>
      <c r="AI92" s="51"/>
      <c r="AJ92" s="55">
        <f t="shared" si="15"/>
        <v>0</v>
      </c>
    </row>
    <row r="93" spans="1:36" s="36" customFormat="1" ht="15.75" x14ac:dyDescent="0.25">
      <c r="A93" s="34" t="s">
        <v>226</v>
      </c>
      <c r="B93" s="35" t="s">
        <v>442</v>
      </c>
      <c r="C93" s="52" t="s">
        <v>45</v>
      </c>
      <c r="D93" s="52" t="s">
        <v>45</v>
      </c>
      <c r="E93" s="52" t="s">
        <v>320</v>
      </c>
      <c r="F93" s="52">
        <v>44436</v>
      </c>
      <c r="G93" s="52">
        <v>44616</v>
      </c>
      <c r="H93" s="50"/>
      <c r="I93" s="53">
        <v>200000</v>
      </c>
      <c r="J93" s="53"/>
      <c r="K93" s="53"/>
      <c r="L93" s="53"/>
      <c r="M93" s="53"/>
      <c r="N93" s="53"/>
      <c r="O93" s="47"/>
      <c r="P93" s="115"/>
      <c r="Q93" s="47"/>
      <c r="R93" s="115"/>
      <c r="S93" s="115"/>
      <c r="T93" s="58"/>
      <c r="U93" s="58"/>
      <c r="V93" s="58"/>
      <c r="W93" s="58"/>
      <c r="X93" s="53"/>
      <c r="Y93" s="53"/>
      <c r="Z93" s="53"/>
      <c r="AA93" s="53"/>
      <c r="AB93" s="53"/>
      <c r="AC93" s="53"/>
      <c r="AD93" s="47"/>
      <c r="AE93" s="54">
        <v>200000</v>
      </c>
      <c r="AF93" s="53"/>
      <c r="AG93" s="47"/>
      <c r="AH93" s="53">
        <f t="shared" si="11"/>
        <v>200000</v>
      </c>
      <c r="AI93" s="51"/>
      <c r="AJ93" s="55">
        <f t="shared" si="15"/>
        <v>0</v>
      </c>
    </row>
    <row r="94" spans="1:36" s="36" customFormat="1" ht="15.75" x14ac:dyDescent="0.25">
      <c r="A94" s="34" t="s">
        <v>228</v>
      </c>
      <c r="B94" s="35" t="s">
        <v>443</v>
      </c>
      <c r="C94" s="52" t="s">
        <v>45</v>
      </c>
      <c r="D94" s="52" t="s">
        <v>389</v>
      </c>
      <c r="E94" s="52" t="s">
        <v>320</v>
      </c>
      <c r="F94" s="52"/>
      <c r="G94" s="52"/>
      <c r="H94" s="50"/>
      <c r="I94" s="53"/>
      <c r="J94" s="53"/>
      <c r="K94" s="53"/>
      <c r="L94" s="53"/>
      <c r="M94" s="53"/>
      <c r="N94" s="53"/>
      <c r="O94" s="47"/>
      <c r="P94" s="115"/>
      <c r="Q94" s="47"/>
      <c r="R94" s="115"/>
      <c r="S94" s="115"/>
      <c r="T94" s="58"/>
      <c r="U94" s="58"/>
      <c r="V94" s="58"/>
      <c r="W94" s="58"/>
      <c r="X94" s="53"/>
      <c r="Y94" s="53"/>
      <c r="Z94" s="53"/>
      <c r="AA94" s="53"/>
      <c r="AB94" s="53"/>
      <c r="AC94" s="53"/>
      <c r="AD94" s="47"/>
      <c r="AE94" s="53"/>
      <c r="AF94" s="53"/>
      <c r="AG94" s="47"/>
      <c r="AH94" s="53">
        <f t="shared" si="11"/>
        <v>0</v>
      </c>
      <c r="AI94" s="51"/>
      <c r="AJ94" s="55">
        <f t="shared" si="15"/>
        <v>0</v>
      </c>
    </row>
    <row r="95" spans="1:36" s="36" customFormat="1" ht="15.75" x14ac:dyDescent="0.25">
      <c r="A95" s="34"/>
      <c r="B95" s="35"/>
      <c r="C95" s="52"/>
      <c r="D95" s="52"/>
      <c r="E95" s="52"/>
      <c r="F95" s="52"/>
      <c r="G95" s="52"/>
      <c r="H95" s="50"/>
      <c r="I95" s="53"/>
      <c r="J95" s="53"/>
      <c r="K95" s="53"/>
      <c r="L95" s="53"/>
      <c r="M95" s="53"/>
      <c r="N95" s="53"/>
      <c r="O95" s="47"/>
      <c r="P95" s="115"/>
      <c r="Q95" s="47"/>
      <c r="R95" s="115"/>
      <c r="S95" s="115"/>
      <c r="T95" s="58"/>
      <c r="U95" s="58"/>
      <c r="V95" s="58"/>
      <c r="W95" s="58"/>
      <c r="X95" s="53"/>
      <c r="Y95" s="53"/>
      <c r="Z95" s="53"/>
      <c r="AA95" s="53"/>
      <c r="AB95" s="53"/>
      <c r="AC95" s="53"/>
      <c r="AD95" s="47"/>
      <c r="AE95" s="53"/>
      <c r="AF95" s="53"/>
      <c r="AG95" s="47"/>
      <c r="AH95" s="53">
        <f t="shared" si="11"/>
        <v>0</v>
      </c>
      <c r="AI95" s="51"/>
      <c r="AJ95" s="55">
        <f t="shared" si="15"/>
        <v>0</v>
      </c>
    </row>
    <row r="96" spans="1:36" s="36" customFormat="1" ht="15.75" x14ac:dyDescent="0.25">
      <c r="A96" s="34"/>
      <c r="B96" s="35"/>
      <c r="C96" s="52"/>
      <c r="D96" s="52"/>
      <c r="E96" s="52"/>
      <c r="F96" s="52"/>
      <c r="G96" s="52"/>
      <c r="H96" s="50"/>
      <c r="I96" s="53"/>
      <c r="J96" s="53"/>
      <c r="K96" s="53"/>
      <c r="L96" s="53"/>
      <c r="M96" s="53"/>
      <c r="N96" s="53"/>
      <c r="O96" s="47"/>
      <c r="P96" s="115"/>
      <c r="Q96" s="47"/>
      <c r="R96" s="115"/>
      <c r="S96" s="115"/>
      <c r="T96" s="58"/>
      <c r="U96" s="58"/>
      <c r="V96" s="58"/>
      <c r="W96" s="58"/>
      <c r="X96" s="53"/>
      <c r="Y96" s="53"/>
      <c r="Z96" s="53"/>
      <c r="AA96" s="53"/>
      <c r="AB96" s="53"/>
      <c r="AC96" s="53"/>
      <c r="AD96" s="47"/>
      <c r="AE96" s="53"/>
      <c r="AF96" s="53"/>
      <c r="AG96" s="47"/>
      <c r="AH96" s="53">
        <f t="shared" si="11"/>
        <v>0</v>
      </c>
      <c r="AI96" s="51"/>
      <c r="AJ96" s="55">
        <f t="shared" si="15"/>
        <v>0</v>
      </c>
    </row>
    <row r="97" spans="1:36" s="36" customFormat="1" ht="15.75" x14ac:dyDescent="0.25">
      <c r="A97" s="99"/>
      <c r="B97" s="100"/>
      <c r="C97" s="91"/>
      <c r="D97" s="91"/>
      <c r="E97" s="91"/>
      <c r="F97" s="91"/>
      <c r="G97" s="91"/>
      <c r="H97" s="92"/>
      <c r="I97" s="59">
        <f>SUM(I60:I96)</f>
        <v>36090841</v>
      </c>
      <c r="J97" s="59"/>
      <c r="K97" s="59"/>
      <c r="L97" s="59"/>
      <c r="M97" s="59"/>
      <c r="N97" s="59"/>
      <c r="O97" s="47"/>
      <c r="P97" s="59">
        <f>SUM(P60:P96)</f>
        <v>122184</v>
      </c>
      <c r="Q97" s="47"/>
      <c r="R97" s="59">
        <f>SUM(R60:R96)</f>
        <v>353138</v>
      </c>
      <c r="S97" s="59">
        <f t="shared" ref="S97:AC97" si="18">SUM(S60:S96)</f>
        <v>126433</v>
      </c>
      <c r="T97" s="59">
        <f t="shared" si="18"/>
        <v>150000</v>
      </c>
      <c r="U97" s="59">
        <f t="shared" si="18"/>
        <v>200000</v>
      </c>
      <c r="V97" s="59">
        <f t="shared" si="18"/>
        <v>475000</v>
      </c>
      <c r="W97" s="59">
        <f t="shared" si="18"/>
        <v>700000</v>
      </c>
      <c r="X97" s="59">
        <f t="shared" si="18"/>
        <v>1050000</v>
      </c>
      <c r="Y97" s="59">
        <f t="shared" si="18"/>
        <v>550000</v>
      </c>
      <c r="Z97" s="59">
        <f t="shared" si="18"/>
        <v>675000</v>
      </c>
      <c r="AA97" s="59">
        <f t="shared" si="18"/>
        <v>1625000</v>
      </c>
      <c r="AB97" s="59">
        <f t="shared" si="18"/>
        <v>2900000</v>
      </c>
      <c r="AC97" s="59">
        <f t="shared" si="18"/>
        <v>3576400</v>
      </c>
      <c r="AD97" s="47"/>
      <c r="AE97" s="59">
        <f>SUM(AE60:AE96)</f>
        <v>23587686</v>
      </c>
      <c r="AF97" s="59">
        <f>SUM(AF60:AF96)</f>
        <v>0</v>
      </c>
      <c r="AG97" s="47"/>
      <c r="AH97" s="53">
        <f t="shared" si="11"/>
        <v>36090841</v>
      </c>
      <c r="AI97" s="51"/>
      <c r="AJ97" s="55">
        <f>I97-AH97</f>
        <v>0</v>
      </c>
    </row>
    <row r="98" spans="1:36" s="36" customFormat="1" ht="16.5" thickBot="1" x14ac:dyDescent="0.3">
      <c r="A98" s="34"/>
      <c r="B98" s="35"/>
      <c r="C98" s="52"/>
      <c r="D98" s="52"/>
      <c r="E98" s="52"/>
      <c r="F98" s="52"/>
      <c r="G98" s="141"/>
      <c r="H98" s="142"/>
      <c r="I98" s="143"/>
      <c r="J98" s="143"/>
      <c r="K98" s="143"/>
      <c r="L98" s="143"/>
      <c r="M98" s="143"/>
      <c r="N98" s="143"/>
      <c r="O98" s="144"/>
      <c r="P98" s="143"/>
      <c r="Q98" s="144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4"/>
      <c r="AE98" s="143"/>
      <c r="AF98" s="143"/>
      <c r="AG98" s="144"/>
      <c r="AH98" s="143"/>
      <c r="AI98" s="145"/>
      <c r="AJ98" s="55">
        <f>I98-AH98</f>
        <v>0</v>
      </c>
    </row>
    <row r="99" spans="1:36" s="36" customFormat="1" ht="16.5" thickBot="1" x14ac:dyDescent="0.3">
      <c r="C99" s="37"/>
      <c r="D99" s="37"/>
      <c r="E99" s="37"/>
      <c r="F99" s="37"/>
      <c r="G99" s="147"/>
      <c r="H99" s="148" t="s">
        <v>404</v>
      </c>
      <c r="I99" s="149">
        <f t="shared" ref="I99:N99" si="19">SUM(I4:I97)-I13-I18-I36-I39-I58-I97</f>
        <v>89094036</v>
      </c>
      <c r="J99" s="149">
        <f t="shared" si="19"/>
        <v>25064428</v>
      </c>
      <c r="K99" s="149">
        <f t="shared" si="19"/>
        <v>1360672</v>
      </c>
      <c r="L99" s="149">
        <f t="shared" si="19"/>
        <v>22474518</v>
      </c>
      <c r="M99" s="149">
        <f t="shared" si="19"/>
        <v>1376328</v>
      </c>
      <c r="N99" s="149">
        <f t="shared" si="19"/>
        <v>-15656</v>
      </c>
      <c r="O99" s="150"/>
      <c r="P99" s="151">
        <f>SUM(P4:P97)-P13-P18-P36-P39-P58-P97</f>
        <v>12192800</v>
      </c>
      <c r="Q99" s="150"/>
      <c r="R99" s="151">
        <f t="shared" ref="R99:AC99" si="20">SUM(R4:R97)-R13-R18-R36-R39-R58-R97</f>
        <v>3795406</v>
      </c>
      <c r="S99" s="151">
        <f t="shared" si="20"/>
        <v>2521609</v>
      </c>
      <c r="T99" s="151">
        <f t="shared" si="20"/>
        <v>4411810</v>
      </c>
      <c r="U99" s="151">
        <f t="shared" si="20"/>
        <v>5197007</v>
      </c>
      <c r="V99" s="151">
        <f t="shared" si="20"/>
        <v>4944226</v>
      </c>
      <c r="W99" s="151">
        <f t="shared" si="20"/>
        <v>4891305</v>
      </c>
      <c r="X99" s="151">
        <f t="shared" si="20"/>
        <v>4730957</v>
      </c>
      <c r="Y99" s="151">
        <f t="shared" si="20"/>
        <v>3921521</v>
      </c>
      <c r="Z99" s="151">
        <f t="shared" si="20"/>
        <v>3325512</v>
      </c>
      <c r="AA99" s="151">
        <f t="shared" si="20"/>
        <v>3908964</v>
      </c>
      <c r="AB99" s="151">
        <f t="shared" si="20"/>
        <v>4742979</v>
      </c>
      <c r="AC99" s="151">
        <f t="shared" si="20"/>
        <v>4504754</v>
      </c>
      <c r="AD99" s="144"/>
      <c r="AE99" s="151">
        <f>SUM(AE4:AE97)-AE13-AE18-AE36-AE39-AE58-AE97</f>
        <v>26005186</v>
      </c>
      <c r="AF99" s="151">
        <f>SUM(AF4:AF97)-AF13-AF18-AF36-AF39-AF58-AF97</f>
        <v>0</v>
      </c>
      <c r="AG99" s="150"/>
      <c r="AH99" s="152">
        <f t="shared" si="11"/>
        <v>89094036</v>
      </c>
      <c r="AI99" s="153"/>
      <c r="AJ99" s="154">
        <f>I99-AH99</f>
        <v>0</v>
      </c>
    </row>
    <row r="100" spans="1:36" s="90" customFormat="1" ht="15.75" x14ac:dyDescent="0.25">
      <c r="C100" s="122"/>
      <c r="D100" s="122"/>
      <c r="E100" s="122"/>
      <c r="F100" s="122"/>
      <c r="G100" s="123"/>
      <c r="H100" s="124" t="s">
        <v>405</v>
      </c>
      <c r="I100" s="125"/>
      <c r="J100" s="125"/>
      <c r="K100" s="125"/>
      <c r="L100" s="125"/>
      <c r="M100" s="125"/>
      <c r="N100" s="125"/>
      <c r="O100" s="126"/>
      <c r="P100" s="125">
        <v>14657045</v>
      </c>
      <c r="Q100" s="126"/>
      <c r="R100" s="128">
        <v>2798117.1428571427</v>
      </c>
      <c r="S100" s="128">
        <v>3206824.6428571427</v>
      </c>
      <c r="T100" s="128">
        <v>4008392.6428571427</v>
      </c>
      <c r="U100" s="128">
        <v>4318997.6428571427</v>
      </c>
      <c r="V100" s="128">
        <v>5069566.6428571418</v>
      </c>
      <c r="W100" s="128">
        <v>5575814.6428571418</v>
      </c>
      <c r="X100" s="128">
        <v>5314704.6428571418</v>
      </c>
      <c r="Y100" s="128">
        <v>5476840</v>
      </c>
      <c r="Z100" s="128">
        <v>5359959</v>
      </c>
      <c r="AA100" s="128">
        <v>6173564</v>
      </c>
      <c r="AB100" s="128">
        <v>5501722</v>
      </c>
      <c r="AC100" s="128">
        <v>3866535</v>
      </c>
      <c r="AD100" s="146"/>
      <c r="AE100" s="125">
        <v>16008105</v>
      </c>
      <c r="AF100" s="125"/>
      <c r="AG100" s="146"/>
      <c r="AH100" s="125"/>
      <c r="AI100" s="126"/>
    </row>
    <row r="101" spans="1:36" ht="15.75" x14ac:dyDescent="0.25">
      <c r="G101" s="75"/>
      <c r="H101" s="38" t="s">
        <v>406</v>
      </c>
      <c r="I101" s="76"/>
      <c r="J101" s="76"/>
      <c r="K101" s="76"/>
      <c r="L101" s="76"/>
      <c r="M101" s="76"/>
      <c r="N101" s="76"/>
      <c r="O101" s="77"/>
      <c r="P101" s="128">
        <f>P99-P100</f>
        <v>-2464245</v>
      </c>
      <c r="Q101" s="126"/>
      <c r="R101" s="128">
        <f>R99-R100</f>
        <v>997288.85714285728</v>
      </c>
      <c r="S101" s="128">
        <f t="shared" ref="S101:AC101" si="21">S99-S100</f>
        <v>-685215.64285714272</v>
      </c>
      <c r="T101" s="128">
        <f t="shared" si="21"/>
        <v>403417.35714285728</v>
      </c>
      <c r="U101" s="128">
        <f t="shared" si="21"/>
        <v>878009.35714285728</v>
      </c>
      <c r="V101" s="128">
        <f t="shared" si="21"/>
        <v>-125340.64285714179</v>
      </c>
      <c r="W101" s="128">
        <f t="shared" si="21"/>
        <v>-684509.64285714179</v>
      </c>
      <c r="X101" s="128">
        <f t="shared" si="21"/>
        <v>-583747.64285714179</v>
      </c>
      <c r="Y101" s="128">
        <f t="shared" si="21"/>
        <v>-1555319</v>
      </c>
      <c r="Z101" s="128">
        <f t="shared" si="21"/>
        <v>-2034447</v>
      </c>
      <c r="AA101" s="128">
        <f t="shared" si="21"/>
        <v>-2264600</v>
      </c>
      <c r="AB101" s="128">
        <f t="shared" si="21"/>
        <v>-758743</v>
      </c>
      <c r="AC101" s="128">
        <f t="shared" si="21"/>
        <v>638219</v>
      </c>
      <c r="AD101" s="127"/>
      <c r="AE101" s="125"/>
      <c r="AF101" s="125"/>
      <c r="AG101" s="47"/>
      <c r="AH101" s="76"/>
      <c r="AI101" s="77"/>
      <c r="AJ101" s="90"/>
    </row>
    <row r="102" spans="1:36" ht="15.75" x14ac:dyDescent="0.25">
      <c r="Q102" s="132"/>
      <c r="R102" s="130"/>
      <c r="S102" s="130"/>
      <c r="T102" s="130"/>
      <c r="U102" s="133"/>
      <c r="V102" s="133"/>
      <c r="W102" s="133"/>
      <c r="X102" s="130"/>
      <c r="Y102" s="130"/>
      <c r="Z102" s="130"/>
      <c r="AA102" s="130"/>
      <c r="AB102" s="130"/>
      <c r="AC102" s="130"/>
      <c r="AD102" s="127"/>
      <c r="AE102" s="130"/>
      <c r="AF102" s="130"/>
      <c r="AG102" s="47"/>
    </row>
    <row r="103" spans="1:36" ht="15.75" x14ac:dyDescent="0.25">
      <c r="H103" s="38" t="s">
        <v>407</v>
      </c>
      <c r="Q103" s="132"/>
      <c r="R103" s="136">
        <v>2897650</v>
      </c>
      <c r="S103" s="130"/>
      <c r="T103" s="130"/>
      <c r="U103" s="133"/>
      <c r="V103" s="133"/>
      <c r="W103" s="133"/>
      <c r="X103" s="130"/>
      <c r="Y103" s="130"/>
      <c r="Z103" s="130"/>
      <c r="AA103" s="130"/>
      <c r="AB103" s="130"/>
      <c r="AC103" s="130"/>
      <c r="AD103" s="127"/>
      <c r="AE103" s="130"/>
      <c r="AF103" s="130"/>
      <c r="AG103" s="47"/>
    </row>
    <row r="104" spans="1:36" ht="15.75" x14ac:dyDescent="0.25">
      <c r="H104" s="38" t="s">
        <v>408</v>
      </c>
      <c r="Q104" s="132"/>
      <c r="R104" s="130">
        <f>(R100*0.9)*0.887</f>
        <v>2233736.915142857</v>
      </c>
      <c r="S104" s="130">
        <f t="shared" ref="S104:AE104" si="22">(S100*0.9)*0.887</f>
        <v>2560008.1123928572</v>
      </c>
      <c r="T104" s="130">
        <f t="shared" si="22"/>
        <v>3199899.8467928572</v>
      </c>
      <c r="U104" s="130">
        <f t="shared" si="22"/>
        <v>3447855.8182928571</v>
      </c>
      <c r="V104" s="130">
        <f t="shared" si="22"/>
        <v>4047035.0509928567</v>
      </c>
      <c r="W104" s="130">
        <f t="shared" si="22"/>
        <v>4451172.8293928569</v>
      </c>
      <c r="X104" s="130">
        <f t="shared" si="22"/>
        <v>4242728.716392857</v>
      </c>
      <c r="Y104" s="130">
        <f t="shared" si="22"/>
        <v>4372161.3720000004</v>
      </c>
      <c r="Z104" s="130">
        <f t="shared" si="22"/>
        <v>4278855.269700001</v>
      </c>
      <c r="AA104" s="130">
        <f t="shared" si="22"/>
        <v>4928356.1412000004</v>
      </c>
      <c r="AB104" s="130">
        <f t="shared" si="22"/>
        <v>4392024.6726000002</v>
      </c>
      <c r="AC104" s="130">
        <f t="shared" si="22"/>
        <v>3086654.8905000002</v>
      </c>
      <c r="AD104" s="127"/>
      <c r="AE104" s="130">
        <f t="shared" si="22"/>
        <v>12779270.2215</v>
      </c>
      <c r="AF104" s="130"/>
      <c r="AG104" s="47"/>
    </row>
    <row r="105" spans="1:36" ht="15.75" x14ac:dyDescent="0.25">
      <c r="H105" s="38" t="s">
        <v>406</v>
      </c>
      <c r="Q105" s="132"/>
      <c r="R105" s="130">
        <f>R103-R104</f>
        <v>663913.084857143</v>
      </c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27"/>
      <c r="AE105" s="130"/>
      <c r="AF105" s="130"/>
      <c r="AG105" s="47"/>
    </row>
    <row r="106" spans="1:36" ht="15.75" x14ac:dyDescent="0.25">
      <c r="Q106" s="132"/>
      <c r="R106" s="130"/>
      <c r="S106" s="130"/>
      <c r="T106" s="130"/>
      <c r="U106" s="133"/>
      <c r="V106" s="133"/>
      <c r="W106" s="133"/>
      <c r="X106" s="130"/>
      <c r="Y106" s="130"/>
      <c r="Z106" s="130"/>
      <c r="AA106" s="130"/>
      <c r="AB106" s="130"/>
      <c r="AC106" s="130"/>
      <c r="AD106" s="127"/>
      <c r="AE106" s="130"/>
      <c r="AF106" s="130"/>
      <c r="AG106" s="47"/>
    </row>
    <row r="107" spans="1:36" ht="15.75" x14ac:dyDescent="0.25">
      <c r="H107" s="38" t="s">
        <v>409</v>
      </c>
      <c r="Q107" s="132"/>
      <c r="R107" s="136">
        <v>261214</v>
      </c>
      <c r="S107" s="130"/>
      <c r="T107" s="130"/>
      <c r="U107" s="133"/>
      <c r="V107" s="133"/>
      <c r="W107" s="133"/>
      <c r="X107" s="130"/>
      <c r="Y107" s="130"/>
      <c r="Z107" s="130"/>
      <c r="AA107" s="130"/>
      <c r="AB107" s="130"/>
      <c r="AC107" s="130"/>
      <c r="AD107" s="127"/>
      <c r="AE107" s="130"/>
      <c r="AF107" s="130"/>
      <c r="AG107" s="47"/>
    </row>
    <row r="108" spans="1:36" ht="15.75" x14ac:dyDescent="0.25">
      <c r="H108" s="38" t="s">
        <v>410</v>
      </c>
      <c r="Q108" s="132"/>
      <c r="R108" s="130">
        <f t="shared" ref="R108:AC108" si="23">(R100*0.877)*0.1</f>
        <v>245394.87342857142</v>
      </c>
      <c r="S108" s="130">
        <f t="shared" si="23"/>
        <v>281238.52117857145</v>
      </c>
      <c r="T108" s="130">
        <f t="shared" si="23"/>
        <v>351536.03477857145</v>
      </c>
      <c r="U108" s="130">
        <f t="shared" si="23"/>
        <v>378776.09327857144</v>
      </c>
      <c r="V108" s="130">
        <f t="shared" si="23"/>
        <v>444600.99457857135</v>
      </c>
      <c r="W108" s="130">
        <f t="shared" si="23"/>
        <v>488998.9441785714</v>
      </c>
      <c r="X108" s="130">
        <f t="shared" si="23"/>
        <v>466099.59717857133</v>
      </c>
      <c r="Y108" s="130">
        <f t="shared" si="23"/>
        <v>480318.86800000002</v>
      </c>
      <c r="Z108" s="130">
        <f t="shared" si="23"/>
        <v>470068.40429999999</v>
      </c>
      <c r="AA108" s="130">
        <f t="shared" si="23"/>
        <v>541421.56279999996</v>
      </c>
      <c r="AB108" s="130">
        <f t="shared" si="23"/>
        <v>482501.01940000005</v>
      </c>
      <c r="AC108" s="130">
        <f t="shared" si="23"/>
        <v>339095.11950000003</v>
      </c>
      <c r="AD108" s="127"/>
      <c r="AE108" s="130">
        <f>(AE100*0.877)*0.1</f>
        <v>1403910.8085000003</v>
      </c>
      <c r="AF108" s="130"/>
      <c r="AG108" s="47"/>
    </row>
    <row r="109" spans="1:36" ht="15.75" x14ac:dyDescent="0.25">
      <c r="G109" s="75"/>
      <c r="H109" s="38" t="s">
        <v>406</v>
      </c>
      <c r="I109" s="76"/>
      <c r="J109" s="76"/>
      <c r="K109" s="76"/>
      <c r="L109" s="76"/>
      <c r="M109" s="76"/>
      <c r="N109" s="76"/>
      <c r="O109" s="77"/>
      <c r="P109" s="125"/>
      <c r="Q109" s="126"/>
      <c r="R109" s="128">
        <f>R107-R108</f>
        <v>15819.126571428584</v>
      </c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7"/>
      <c r="AE109" s="125"/>
      <c r="AF109" s="125"/>
      <c r="AG109" s="47"/>
      <c r="AH109" s="76"/>
      <c r="AI109" s="77"/>
      <c r="AJ109" s="90"/>
    </row>
    <row r="110" spans="1:36" ht="15.75" x14ac:dyDescent="0.25">
      <c r="G110" s="75"/>
      <c r="I110" s="76"/>
      <c r="J110" s="76"/>
      <c r="K110" s="76"/>
      <c r="L110" s="76"/>
      <c r="M110" s="76"/>
      <c r="N110" s="76"/>
      <c r="O110" s="77"/>
      <c r="P110" s="125"/>
      <c r="Q110" s="126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7"/>
      <c r="AE110" s="125"/>
      <c r="AF110" s="125"/>
      <c r="AG110" s="47"/>
      <c r="AH110" s="76"/>
      <c r="AI110" s="77"/>
      <c r="AJ110" s="90"/>
    </row>
    <row r="111" spans="1:36" ht="15.75" x14ac:dyDescent="0.25">
      <c r="G111" s="75"/>
      <c r="H111" s="38" t="s">
        <v>411</v>
      </c>
      <c r="I111" s="76"/>
      <c r="J111" s="76"/>
      <c r="K111" s="76"/>
      <c r="L111" s="76"/>
      <c r="M111" s="76"/>
      <c r="N111" s="76"/>
      <c r="O111" s="77"/>
      <c r="P111" s="125"/>
      <c r="Q111" s="126"/>
      <c r="R111" s="139">
        <v>9.01E-2</v>
      </c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27"/>
      <c r="AE111" s="125"/>
      <c r="AF111" s="125"/>
      <c r="AG111" s="47"/>
      <c r="AH111" s="76"/>
      <c r="AI111" s="77"/>
      <c r="AJ111" s="90"/>
    </row>
    <row r="112" spans="1:36" ht="15.75" x14ac:dyDescent="0.25">
      <c r="G112" s="75"/>
      <c r="H112" s="38" t="s">
        <v>412</v>
      </c>
      <c r="I112" s="76"/>
      <c r="J112" s="76"/>
      <c r="K112" s="76"/>
      <c r="L112" s="76"/>
      <c r="M112" s="76"/>
      <c r="N112" s="76"/>
      <c r="O112" s="77"/>
      <c r="P112" s="125"/>
      <c r="Q112" s="126"/>
      <c r="R112" s="137">
        <v>0.1</v>
      </c>
      <c r="S112" s="137">
        <v>0.1</v>
      </c>
      <c r="T112" s="137">
        <v>0.1</v>
      </c>
      <c r="U112" s="137">
        <v>0.1</v>
      </c>
      <c r="V112" s="137">
        <v>0.1</v>
      </c>
      <c r="W112" s="137">
        <v>0.1</v>
      </c>
      <c r="X112" s="137">
        <v>0.1</v>
      </c>
      <c r="Y112" s="137">
        <v>0.1</v>
      </c>
      <c r="Z112" s="137">
        <v>0.1</v>
      </c>
      <c r="AA112" s="137">
        <v>0.1</v>
      </c>
      <c r="AB112" s="137">
        <v>0.1</v>
      </c>
      <c r="AC112" s="137">
        <v>0.1</v>
      </c>
      <c r="AD112" s="127"/>
      <c r="AE112" s="137">
        <v>0.1</v>
      </c>
      <c r="AF112" s="125"/>
      <c r="AG112" s="47"/>
      <c r="AH112" s="76"/>
      <c r="AI112" s="77"/>
      <c r="AJ112" s="90"/>
    </row>
    <row r="113" spans="1:36" ht="15.75" x14ac:dyDescent="0.25">
      <c r="G113" s="75"/>
      <c r="H113" s="38" t="s">
        <v>406</v>
      </c>
      <c r="I113" s="76"/>
      <c r="J113" s="76"/>
      <c r="K113" s="76"/>
      <c r="L113" s="76"/>
      <c r="M113" s="76"/>
      <c r="N113" s="76"/>
      <c r="O113" s="77"/>
      <c r="P113" s="125"/>
      <c r="Q113" s="126"/>
      <c r="R113" s="138">
        <f>R111-R112</f>
        <v>-9.900000000000006E-3</v>
      </c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27"/>
      <c r="AE113" s="125"/>
      <c r="AF113" s="125"/>
      <c r="AG113" s="47"/>
      <c r="AH113" s="76"/>
      <c r="AI113" s="77"/>
      <c r="AJ113" s="90"/>
    </row>
    <row r="114" spans="1:36" ht="15.75" x14ac:dyDescent="0.25">
      <c r="Q114" s="132"/>
      <c r="R114" s="130"/>
      <c r="S114" s="130"/>
      <c r="T114" s="130"/>
      <c r="U114" s="133"/>
      <c r="V114" s="133"/>
      <c r="W114" s="133"/>
      <c r="X114" s="130"/>
      <c r="Y114" s="130"/>
      <c r="Z114" s="130"/>
      <c r="AA114" s="130"/>
      <c r="AB114" s="130"/>
      <c r="AC114" s="130"/>
      <c r="AD114" s="127"/>
      <c r="AE114" s="130"/>
      <c r="AF114" s="130"/>
      <c r="AG114" s="47"/>
    </row>
    <row r="115" spans="1:36" ht="15.75" x14ac:dyDescent="0.25">
      <c r="H115" s="38" t="s">
        <v>413</v>
      </c>
      <c r="Q115" s="132"/>
      <c r="R115" s="140">
        <v>257087</v>
      </c>
      <c r="S115" s="134"/>
      <c r="T115" s="135"/>
      <c r="U115" s="131"/>
      <c r="V115" s="133"/>
      <c r="W115" s="133"/>
      <c r="X115" s="130"/>
      <c r="Y115" s="130"/>
      <c r="Z115" s="130"/>
      <c r="AA115" s="130"/>
      <c r="AB115" s="130"/>
      <c r="AC115" s="130"/>
      <c r="AD115" s="127"/>
      <c r="AE115" s="130"/>
      <c r="AF115" s="130"/>
      <c r="AG115" s="47"/>
    </row>
    <row r="116" spans="1:36" ht="15.75" x14ac:dyDescent="0.25">
      <c r="H116" s="38" t="s">
        <v>414</v>
      </c>
      <c r="Q116" s="132"/>
      <c r="R116" s="131">
        <v>275000</v>
      </c>
      <c r="S116" s="131">
        <v>275000</v>
      </c>
      <c r="T116" s="131">
        <v>275000</v>
      </c>
      <c r="U116" s="131">
        <v>293000</v>
      </c>
      <c r="V116" s="131">
        <v>293000</v>
      </c>
      <c r="W116" s="131">
        <v>293000</v>
      </c>
      <c r="X116" s="131">
        <v>300000</v>
      </c>
      <c r="Y116" s="131">
        <v>300000</v>
      </c>
      <c r="Z116" s="131">
        <v>300000</v>
      </c>
      <c r="AA116" s="131">
        <v>300000</v>
      </c>
      <c r="AB116" s="131">
        <v>300000</v>
      </c>
      <c r="AC116" s="131">
        <v>300000</v>
      </c>
      <c r="AD116" s="127"/>
      <c r="AE116" s="131">
        <v>300000</v>
      </c>
      <c r="AF116" s="130"/>
      <c r="AG116" s="47"/>
    </row>
    <row r="117" spans="1:36" ht="15.75" x14ac:dyDescent="0.25">
      <c r="G117" s="75"/>
      <c r="H117" s="38" t="s">
        <v>406</v>
      </c>
      <c r="I117" s="76"/>
      <c r="J117" s="76"/>
      <c r="K117" s="76"/>
      <c r="L117" s="76"/>
      <c r="M117" s="76"/>
      <c r="N117" s="76"/>
      <c r="O117" s="77"/>
      <c r="P117" s="125"/>
      <c r="Q117" s="126"/>
      <c r="R117" s="128">
        <f>R116-R115</f>
        <v>17913</v>
      </c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7"/>
      <c r="AE117" s="125"/>
      <c r="AF117" s="125"/>
      <c r="AG117" s="47"/>
      <c r="AH117" s="76"/>
      <c r="AI117" s="77"/>
      <c r="AJ117" s="90"/>
    </row>
    <row r="118" spans="1:36" ht="15.75" x14ac:dyDescent="0.25">
      <c r="Q118" s="132"/>
      <c r="R118" s="131"/>
      <c r="S118" s="134"/>
      <c r="T118" s="135"/>
      <c r="U118" s="131"/>
      <c r="V118" s="133"/>
      <c r="W118" s="133"/>
      <c r="X118" s="130"/>
      <c r="Y118" s="130"/>
      <c r="Z118" s="130"/>
      <c r="AA118" s="130"/>
      <c r="AB118" s="130"/>
      <c r="AC118" s="130"/>
      <c r="AD118" s="127"/>
      <c r="AE118" s="130"/>
      <c r="AF118" s="130"/>
      <c r="AG118" s="47"/>
    </row>
    <row r="119" spans="1:36" s="78" customFormat="1" ht="15.75" x14ac:dyDescent="0.25">
      <c r="A119"/>
      <c r="B119"/>
      <c r="C119" s="74"/>
      <c r="D119" s="74"/>
      <c r="E119" s="74"/>
      <c r="F119" s="74"/>
      <c r="G119" s="74"/>
      <c r="H119" s="38"/>
      <c r="O119" s="79"/>
      <c r="P119" s="130"/>
      <c r="Q119" s="132"/>
      <c r="R119" s="131"/>
      <c r="S119" s="134"/>
      <c r="T119" s="135"/>
      <c r="U119" s="131"/>
      <c r="V119" s="133"/>
      <c r="W119" s="133"/>
      <c r="X119" s="130"/>
      <c r="Y119" s="130"/>
      <c r="Z119" s="130"/>
      <c r="AA119" s="130"/>
      <c r="AB119" s="130"/>
      <c r="AC119" s="130"/>
      <c r="AD119" s="127"/>
      <c r="AE119" s="130"/>
      <c r="AF119" s="130"/>
      <c r="AG119" s="47"/>
      <c r="AI119" s="79"/>
      <c r="AJ119"/>
    </row>
    <row r="120" spans="1:36" s="78" customFormat="1" ht="15.75" x14ac:dyDescent="0.25">
      <c r="A120"/>
      <c r="B120"/>
      <c r="C120" s="74"/>
      <c r="D120" s="74"/>
      <c r="E120" s="74"/>
      <c r="F120" s="74"/>
      <c r="G120" s="74"/>
      <c r="H120" s="38" t="s">
        <v>415</v>
      </c>
      <c r="O120" s="79"/>
      <c r="P120" s="130"/>
      <c r="Q120" s="132"/>
      <c r="R120" s="140">
        <f>R107-R115</f>
        <v>4127</v>
      </c>
      <c r="S120" s="134"/>
      <c r="T120" s="135"/>
      <c r="U120" s="131"/>
      <c r="V120" s="133"/>
      <c r="W120" s="133"/>
      <c r="X120" s="130"/>
      <c r="Y120" s="130"/>
      <c r="Z120" s="130"/>
      <c r="AA120" s="130"/>
      <c r="AB120" s="130"/>
      <c r="AC120" s="130"/>
      <c r="AD120" s="127"/>
      <c r="AE120" s="130"/>
      <c r="AF120" s="130"/>
      <c r="AG120" s="47"/>
      <c r="AI120" s="79"/>
      <c r="AJ120"/>
    </row>
    <row r="121" spans="1:36" s="78" customFormat="1" ht="15.75" x14ac:dyDescent="0.25">
      <c r="A121"/>
      <c r="B121"/>
      <c r="C121" s="74"/>
      <c r="D121" s="74"/>
      <c r="E121" s="74"/>
      <c r="F121" s="74"/>
      <c r="G121" s="74"/>
      <c r="H121" s="38" t="s">
        <v>416</v>
      </c>
      <c r="O121" s="79"/>
      <c r="P121" s="130"/>
      <c r="Q121" s="132"/>
      <c r="R121" s="131">
        <f>R108*0.1</f>
        <v>24539.487342857145</v>
      </c>
      <c r="S121" s="131">
        <f>S108*0.1</f>
        <v>28123.852117857146</v>
      </c>
      <c r="T121" s="131">
        <f>T108*0.1</f>
        <v>35153.603477857148</v>
      </c>
      <c r="U121" s="131">
        <f>U108*0.1</f>
        <v>37877.609327857142</v>
      </c>
      <c r="V121" s="131">
        <f t="shared" ref="V121:AB121" si="24">V108*0.1</f>
        <v>44460.099457857141</v>
      </c>
      <c r="W121" s="131">
        <f>W108*0.1</f>
        <v>48899.89441785714</v>
      </c>
      <c r="X121" s="131">
        <f t="shared" si="24"/>
        <v>46609.959717857135</v>
      </c>
      <c r="Y121" s="131">
        <f t="shared" si="24"/>
        <v>48031.886800000007</v>
      </c>
      <c r="Z121" s="131">
        <f t="shared" si="24"/>
        <v>47006.840430000004</v>
      </c>
      <c r="AA121" s="131">
        <f t="shared" si="24"/>
        <v>54142.156279999996</v>
      </c>
      <c r="AB121" s="131">
        <f t="shared" si="24"/>
        <v>48250.101940000008</v>
      </c>
      <c r="AC121" s="131">
        <f>AC108*0.1+2995</f>
        <v>36904.511950000007</v>
      </c>
      <c r="AD121" s="127"/>
      <c r="AE121" s="130">
        <f>SUM(R121:AC121)</f>
        <v>500000.00326000003</v>
      </c>
      <c r="AF121" s="130"/>
      <c r="AG121" s="47"/>
      <c r="AI121" s="79"/>
      <c r="AJ121"/>
    </row>
    <row r="122" spans="1:36" ht="15.75" x14ac:dyDescent="0.25">
      <c r="G122" s="75"/>
      <c r="H122" s="38" t="s">
        <v>406</v>
      </c>
      <c r="I122" s="76"/>
      <c r="J122" s="76"/>
      <c r="K122" s="76"/>
      <c r="L122" s="76"/>
      <c r="M122" s="76"/>
      <c r="N122" s="76"/>
      <c r="O122" s="77"/>
      <c r="P122" s="125"/>
      <c r="Q122" s="126"/>
      <c r="R122" s="128">
        <f>R120-R121</f>
        <v>-20412.487342857145</v>
      </c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7"/>
      <c r="AE122" s="125"/>
      <c r="AF122" s="125"/>
      <c r="AG122" s="47"/>
      <c r="AH122" s="76"/>
      <c r="AI122" s="77"/>
      <c r="AJ122" s="90"/>
    </row>
    <row r="123" spans="1:36" s="78" customFormat="1" ht="15.75" x14ac:dyDescent="0.25">
      <c r="A123"/>
      <c r="B123"/>
      <c r="C123" s="74"/>
      <c r="D123" s="74"/>
      <c r="E123" s="74"/>
      <c r="F123" s="74"/>
      <c r="G123" s="74"/>
      <c r="H123" s="38"/>
      <c r="O123" s="79"/>
      <c r="P123" s="130"/>
      <c r="Q123" s="132"/>
      <c r="R123" s="131"/>
      <c r="S123" s="134"/>
      <c r="T123" s="135"/>
      <c r="U123" s="131"/>
      <c r="V123" s="133"/>
      <c r="W123" s="133"/>
      <c r="X123" s="130"/>
      <c r="Y123" s="130"/>
      <c r="Z123" s="130"/>
      <c r="AA123" s="130"/>
      <c r="AB123" s="130"/>
      <c r="AC123" s="130"/>
      <c r="AD123" s="132"/>
      <c r="AE123" s="130"/>
      <c r="AF123" s="130"/>
      <c r="AG123" s="47"/>
      <c r="AI123" s="79"/>
      <c r="AJ123"/>
    </row>
    <row r="124" spans="1:36" s="78" customFormat="1" ht="15.75" x14ac:dyDescent="0.25">
      <c r="A124"/>
      <c r="B124"/>
      <c r="C124" s="74"/>
      <c r="D124" s="74"/>
      <c r="E124" s="74"/>
      <c r="F124" s="74"/>
      <c r="G124" s="74"/>
      <c r="H124" s="38"/>
      <c r="O124" s="79"/>
      <c r="P124" s="130"/>
      <c r="Q124" s="79"/>
      <c r="R124" s="80"/>
      <c r="S124" s="3"/>
      <c r="T124" s="8"/>
      <c r="U124" s="80"/>
      <c r="V124" s="81"/>
      <c r="W124" s="81"/>
      <c r="AD124" s="79"/>
      <c r="AG124" s="47"/>
      <c r="AI124" s="79"/>
      <c r="AJ124"/>
    </row>
    <row r="125" spans="1:36" s="78" customFormat="1" ht="15.75" x14ac:dyDescent="0.25">
      <c r="A125"/>
      <c r="B125"/>
      <c r="C125" s="74"/>
      <c r="D125" s="74"/>
      <c r="E125" s="74"/>
      <c r="F125" s="74"/>
      <c r="G125" s="74"/>
      <c r="H125" s="38"/>
      <c r="O125" s="79"/>
      <c r="P125" s="130"/>
      <c r="Q125" s="79"/>
      <c r="R125" s="80"/>
      <c r="S125" s="3"/>
      <c r="T125" s="8"/>
      <c r="U125" s="80"/>
      <c r="V125" s="81"/>
      <c r="W125" s="81"/>
      <c r="AD125" s="79"/>
      <c r="AG125" s="47"/>
      <c r="AI125" s="79"/>
      <c r="AJ125"/>
    </row>
    <row r="126" spans="1:36" s="78" customFormat="1" ht="15.75" x14ac:dyDescent="0.25">
      <c r="A126"/>
      <c r="B126"/>
      <c r="C126" s="74"/>
      <c r="D126" s="74"/>
      <c r="E126" s="74"/>
      <c r="F126" s="74"/>
      <c r="G126" s="74"/>
      <c r="H126" s="38"/>
      <c r="O126" s="79"/>
      <c r="P126" s="130"/>
      <c r="Q126" s="79"/>
      <c r="R126" s="80"/>
      <c r="S126" s="3"/>
      <c r="T126" s="8"/>
      <c r="U126" s="80"/>
      <c r="V126" s="81"/>
      <c r="W126" s="81"/>
      <c r="AD126" s="79"/>
      <c r="AG126" s="47"/>
      <c r="AI126" s="79"/>
      <c r="AJ126"/>
    </row>
    <row r="127" spans="1:36" s="78" customFormat="1" ht="15.75" x14ac:dyDescent="0.25">
      <c r="A127"/>
      <c r="B127"/>
      <c r="C127" s="74"/>
      <c r="D127" s="74"/>
      <c r="E127" s="74"/>
      <c r="F127" s="74"/>
      <c r="G127" s="74"/>
      <c r="H127" s="38"/>
      <c r="O127" s="79"/>
      <c r="P127" s="130"/>
      <c r="Q127" s="79"/>
      <c r="R127" s="80"/>
      <c r="S127" s="3"/>
      <c r="T127" s="8"/>
      <c r="U127" s="80"/>
      <c r="V127" s="81"/>
      <c r="W127" s="81"/>
      <c r="AD127" s="79"/>
      <c r="AG127" s="47"/>
      <c r="AI127" s="79"/>
      <c r="AJ127"/>
    </row>
    <row r="128" spans="1:36" s="78" customFormat="1" ht="15.75" x14ac:dyDescent="0.25">
      <c r="A128"/>
      <c r="B128"/>
      <c r="C128" s="74"/>
      <c r="D128" s="74"/>
      <c r="E128" s="74"/>
      <c r="F128" s="74"/>
      <c r="G128" s="74"/>
      <c r="H128" s="38"/>
      <c r="O128" s="79"/>
      <c r="P128" s="130"/>
      <c r="Q128" s="79"/>
      <c r="R128" s="80"/>
      <c r="S128" s="3"/>
      <c r="T128" s="8"/>
      <c r="U128" s="80"/>
      <c r="V128" s="81"/>
      <c r="W128" s="81"/>
      <c r="AD128" s="79"/>
      <c r="AG128" s="47"/>
      <c r="AI128" s="79"/>
      <c r="AJ128"/>
    </row>
    <row r="129" spans="1:36" s="78" customFormat="1" ht="15.75" x14ac:dyDescent="0.25">
      <c r="A129"/>
      <c r="B129"/>
      <c r="C129" s="74"/>
      <c r="D129" s="74"/>
      <c r="E129" s="74"/>
      <c r="F129" s="74"/>
      <c r="G129" s="74"/>
      <c r="H129" s="38"/>
      <c r="O129" s="79"/>
      <c r="P129" s="130"/>
      <c r="Q129" s="79"/>
      <c r="R129" s="80"/>
      <c r="S129" s="3"/>
      <c r="T129" s="8"/>
      <c r="U129" s="80"/>
      <c r="V129" s="81"/>
      <c r="W129" s="81"/>
      <c r="AD129" s="79"/>
      <c r="AG129" s="79"/>
      <c r="AI129" s="79"/>
      <c r="AJ129"/>
    </row>
    <row r="130" spans="1:36" s="78" customFormat="1" x14ac:dyDescent="0.25">
      <c r="A130"/>
      <c r="B130"/>
      <c r="C130" s="74"/>
      <c r="D130" s="74"/>
      <c r="E130" s="74"/>
      <c r="F130" s="74"/>
      <c r="G130" s="74"/>
      <c r="H130" s="38"/>
      <c r="O130" s="79"/>
      <c r="P130" s="130"/>
      <c r="Q130" s="79"/>
      <c r="R130" s="80"/>
      <c r="S130" s="80"/>
      <c r="T130" s="80"/>
      <c r="U130" s="80"/>
      <c r="V130" s="81"/>
      <c r="W130" s="81"/>
      <c r="AD130" s="79"/>
      <c r="AG130" s="79"/>
      <c r="AI130" s="79"/>
      <c r="AJ130"/>
    </row>
  </sheetData>
  <mergeCells count="1">
    <mergeCell ref="R1:AC1"/>
  </mergeCells>
  <phoneticPr fontId="5" type="noConversion"/>
  <conditionalFormatting sqref="AH16:AH18 AH4:AH13 AH20:AH29 AH42:AH58 AH60 AH99 AH63:AH97">
    <cfRule type="cellIs" dxfId="2278" priority="107" operator="lessThan">
      <formula>I4</formula>
    </cfRule>
    <cfRule type="cellIs" dxfId="2277" priority="108" operator="greaterThan">
      <formula>I4</formula>
    </cfRule>
    <cfRule type="cellIs" dxfId="2276" priority="109" operator="equal">
      <formula>I4</formula>
    </cfRule>
  </conditionalFormatting>
  <conditionalFormatting sqref="AH31 AH35">
    <cfRule type="cellIs" dxfId="2275" priority="103" operator="greaterThan">
      <formula>$I$31</formula>
    </cfRule>
    <cfRule type="cellIs" dxfId="2274" priority="104" operator="lessThan">
      <formula>$I$31</formula>
    </cfRule>
    <cfRule type="cellIs" dxfId="2273" priority="105" operator="equal">
      <formula>$I$31</formula>
    </cfRule>
    <cfRule type="cellIs" dxfId="2272" priority="106" operator="equal">
      <formula>$P$31</formula>
    </cfRule>
  </conditionalFormatting>
  <conditionalFormatting sqref="E40 E114:E116 E118:E121 E123:E1048576 E1:E20 E42:E44 E46:E60 E22:E36 E63:E108">
    <cfRule type="cellIs" dxfId="2271" priority="101" operator="equal">
      <formula>"no"</formula>
    </cfRule>
    <cfRule type="cellIs" dxfId="2270" priority="102" operator="equal">
      <formula>"yes"</formula>
    </cfRule>
  </conditionalFormatting>
  <conditionalFormatting sqref="E21">
    <cfRule type="cellIs" dxfId="2269" priority="99" operator="equal">
      <formula>"no"</formula>
    </cfRule>
    <cfRule type="cellIs" dxfId="2268" priority="100" operator="equal">
      <formula>"yes"</formula>
    </cfRule>
  </conditionalFormatting>
  <conditionalFormatting sqref="E45">
    <cfRule type="cellIs" dxfId="2267" priority="95" operator="equal">
      <formula>"no"</formula>
    </cfRule>
    <cfRule type="cellIs" dxfId="2266" priority="96" operator="equal">
      <formula>"yes"</formula>
    </cfRule>
  </conditionalFormatting>
  <conditionalFormatting sqref="I4:I12 I31:I35 I60 I42:I57 I63:I96">
    <cfRule type="cellIs" dxfId="2265" priority="94" operator="equal">
      <formula>0</formula>
    </cfRule>
  </conditionalFormatting>
  <conditionalFormatting sqref="I15:I17">
    <cfRule type="cellIs" dxfId="2264" priority="92" operator="equal">
      <formula>0</formula>
    </cfRule>
  </conditionalFormatting>
  <conditionalFormatting sqref="AH15">
    <cfRule type="cellIs" dxfId="2263" priority="89" operator="lessThan">
      <formula>I15</formula>
    </cfRule>
    <cfRule type="cellIs" dxfId="2262" priority="90" operator="greaterThan">
      <formula>I15</formula>
    </cfRule>
    <cfRule type="cellIs" dxfId="2261" priority="91" operator="equal">
      <formula>I15</formula>
    </cfRule>
  </conditionalFormatting>
  <conditionalFormatting sqref="AH38">
    <cfRule type="cellIs" dxfId="2260" priority="86" operator="lessThan">
      <formula>I38</formula>
    </cfRule>
    <cfRule type="cellIs" dxfId="2259" priority="87" operator="greaterThan">
      <formula>I38</formula>
    </cfRule>
    <cfRule type="cellIs" dxfId="2258" priority="88" operator="equal">
      <formula>I38</formula>
    </cfRule>
  </conditionalFormatting>
  <conditionalFormatting sqref="E37:E38">
    <cfRule type="cellIs" dxfId="2257" priority="84" operator="equal">
      <formula>"no"</formula>
    </cfRule>
    <cfRule type="cellIs" dxfId="2256" priority="85" operator="equal">
      <formula>"yes"</formula>
    </cfRule>
  </conditionalFormatting>
  <conditionalFormatting sqref="AH39">
    <cfRule type="cellIs" dxfId="2255" priority="81" operator="lessThan">
      <formula>I39</formula>
    </cfRule>
    <cfRule type="cellIs" dxfId="2254" priority="82" operator="greaterThan">
      <formula>I39</formula>
    </cfRule>
    <cfRule type="cellIs" dxfId="2253" priority="83" operator="equal">
      <formula>I39</formula>
    </cfRule>
  </conditionalFormatting>
  <conditionalFormatting sqref="E39">
    <cfRule type="cellIs" dxfId="2252" priority="79" operator="equal">
      <formula>"no"</formula>
    </cfRule>
    <cfRule type="cellIs" dxfId="2251" priority="80" operator="equal">
      <formula>"yes"</formula>
    </cfRule>
  </conditionalFormatting>
  <conditionalFormatting sqref="D114:D116 D118:D121 D123:D1048576 D42:D60 D1:D40 D63:D108">
    <cfRule type="cellIs" dxfId="2250" priority="63" operator="equal">
      <formula>"TBD"</formula>
    </cfRule>
  </conditionalFormatting>
  <conditionalFormatting sqref="R101:AC101">
    <cfRule type="cellIs" dxfId="2249" priority="40" operator="equal">
      <formula>0</formula>
    </cfRule>
    <cfRule type="cellIs" dxfId="2248" priority="61" operator="lessThan">
      <formula>0</formula>
    </cfRule>
    <cfRule type="cellIs" dxfId="2247" priority="62" operator="greaterThan">
      <formula>0</formula>
    </cfRule>
  </conditionalFormatting>
  <conditionalFormatting sqref="E109:E113">
    <cfRule type="cellIs" dxfId="2246" priority="59" operator="equal">
      <formula>"no"</formula>
    </cfRule>
    <cfRule type="cellIs" dxfId="2245" priority="60" operator="equal">
      <formula>"yes"</formula>
    </cfRule>
  </conditionalFormatting>
  <conditionalFormatting sqref="D109:D113">
    <cfRule type="cellIs" dxfId="2244" priority="58" operator="equal">
      <formula>"TBD"</formula>
    </cfRule>
  </conditionalFormatting>
  <conditionalFormatting sqref="R109:AC110">
    <cfRule type="cellIs" dxfId="2243" priority="56" operator="lessThan">
      <formula>0</formula>
    </cfRule>
    <cfRule type="cellIs" dxfId="2242" priority="57" operator="greaterThan">
      <formula>0</formula>
    </cfRule>
  </conditionalFormatting>
  <conditionalFormatting sqref="E117">
    <cfRule type="cellIs" dxfId="2241" priority="54" operator="equal">
      <formula>"no"</formula>
    </cfRule>
    <cfRule type="cellIs" dxfId="2240" priority="55" operator="equal">
      <formula>"yes"</formula>
    </cfRule>
  </conditionalFormatting>
  <conditionalFormatting sqref="D117">
    <cfRule type="cellIs" dxfId="2239" priority="53" operator="equal">
      <formula>"TBD"</formula>
    </cfRule>
  </conditionalFormatting>
  <conditionalFormatting sqref="R117:AC117">
    <cfRule type="cellIs" dxfId="2238" priority="51" operator="lessThan">
      <formula>0</formula>
    </cfRule>
    <cfRule type="cellIs" dxfId="2237" priority="52" operator="greaterThan">
      <formula>0</formula>
    </cfRule>
  </conditionalFormatting>
  <conditionalFormatting sqref="E122">
    <cfRule type="cellIs" dxfId="2236" priority="49" operator="equal">
      <formula>"no"</formula>
    </cfRule>
    <cfRule type="cellIs" dxfId="2235" priority="50" operator="equal">
      <formula>"yes"</formula>
    </cfRule>
  </conditionalFormatting>
  <conditionalFormatting sqref="D122">
    <cfRule type="cellIs" dxfId="2234" priority="48" operator="equal">
      <formula>"TBD"</formula>
    </cfRule>
  </conditionalFormatting>
  <conditionalFormatting sqref="R122:AC122">
    <cfRule type="cellIs" dxfId="2233" priority="46" operator="lessThan">
      <formula>0</formula>
    </cfRule>
    <cfRule type="cellIs" dxfId="2232" priority="47" operator="greaterThan">
      <formula>0</formula>
    </cfRule>
  </conditionalFormatting>
  <conditionalFormatting sqref="P101">
    <cfRule type="cellIs" dxfId="2231" priority="44" operator="lessThan">
      <formula>0</formula>
    </cfRule>
    <cfRule type="cellIs" dxfId="2230" priority="45" operator="greaterThan">
      <formula>0</formula>
    </cfRule>
  </conditionalFormatting>
  <conditionalFormatting sqref="R105">
    <cfRule type="cellIs" dxfId="2229" priority="41" operator="equal">
      <formula>0</formula>
    </cfRule>
    <cfRule type="cellIs" dxfId="2228" priority="42" operator="lessThan">
      <formula>0</formula>
    </cfRule>
    <cfRule type="cellIs" dxfId="2227" priority="43" operator="greaterThan">
      <formula>0</formula>
    </cfRule>
  </conditionalFormatting>
  <conditionalFormatting sqref="R113">
    <cfRule type="cellIs" dxfId="2226" priority="37" operator="lessThan">
      <formula>0</formula>
    </cfRule>
    <cfRule type="cellIs" dxfId="2225" priority="38" operator="equal">
      <formula>0</formula>
    </cfRule>
    <cfRule type="cellIs" dxfId="2224" priority="39" operator="greaterThan">
      <formula>0</formula>
    </cfRule>
  </conditionalFormatting>
  <conditionalFormatting sqref="AH41">
    <cfRule type="cellIs" dxfId="2223" priority="34" operator="lessThan">
      <formula>I41</formula>
    </cfRule>
    <cfRule type="cellIs" dxfId="2222" priority="35" operator="greaterThan">
      <formula>I41</formula>
    </cfRule>
    <cfRule type="cellIs" dxfId="2221" priority="36" operator="equal">
      <formula>I41</formula>
    </cfRule>
  </conditionalFormatting>
  <conditionalFormatting sqref="E41">
    <cfRule type="cellIs" dxfId="2220" priority="32" operator="equal">
      <formula>"no"</formula>
    </cfRule>
    <cfRule type="cellIs" dxfId="2219" priority="33" operator="equal">
      <formula>"yes"</formula>
    </cfRule>
  </conditionalFormatting>
  <conditionalFormatting sqref="I41">
    <cfRule type="cellIs" dxfId="2218" priority="31" operator="equal">
      <formula>0</formula>
    </cfRule>
  </conditionalFormatting>
  <conditionalFormatting sqref="D41">
    <cfRule type="cellIs" dxfId="2217" priority="30" operator="equal">
      <formula>"TBD"</formula>
    </cfRule>
  </conditionalFormatting>
  <conditionalFormatting sqref="AH36">
    <cfRule type="cellIs" dxfId="2216" priority="15" operator="lessThan">
      <formula>I36</formula>
    </cfRule>
    <cfRule type="cellIs" dxfId="2215" priority="16" operator="greaterThan">
      <formula>I36</formula>
    </cfRule>
    <cfRule type="cellIs" dxfId="2214" priority="17" operator="equal">
      <formula>I36</formula>
    </cfRule>
  </conditionalFormatting>
  <conditionalFormatting sqref="AH30">
    <cfRule type="cellIs" dxfId="2213" priority="27" operator="lessThan">
      <formula>I30</formula>
    </cfRule>
    <cfRule type="cellIs" dxfId="2212" priority="28" operator="greaterThan">
      <formula>I30</formula>
    </cfRule>
    <cfRule type="cellIs" dxfId="2211" priority="29" operator="equal">
      <formula>I30</formula>
    </cfRule>
  </conditionalFormatting>
  <conditionalFormatting sqref="AH32">
    <cfRule type="cellIs" dxfId="2210" priority="24" operator="lessThan">
      <formula>I32</formula>
    </cfRule>
    <cfRule type="cellIs" dxfId="2209" priority="25" operator="greaterThan">
      <formula>I32</formula>
    </cfRule>
    <cfRule type="cellIs" dxfId="2208" priority="26" operator="equal">
      <formula>I32</formula>
    </cfRule>
  </conditionalFormatting>
  <conditionalFormatting sqref="AH33">
    <cfRule type="cellIs" dxfId="2207" priority="21" operator="lessThan">
      <formula>I33</formula>
    </cfRule>
    <cfRule type="cellIs" dxfId="2206" priority="22" operator="greaterThan">
      <formula>I33</formula>
    </cfRule>
    <cfRule type="cellIs" dxfId="2205" priority="23" operator="equal">
      <formula>I33</formula>
    </cfRule>
  </conditionalFormatting>
  <conditionalFormatting sqref="AH34">
    <cfRule type="cellIs" dxfId="2204" priority="18" operator="lessThan">
      <formula>I34</formula>
    </cfRule>
    <cfRule type="cellIs" dxfId="2203" priority="19" operator="greaterThan">
      <formula>I34</formula>
    </cfRule>
    <cfRule type="cellIs" dxfId="2202" priority="20" operator="equal">
      <formula>I34</formula>
    </cfRule>
  </conditionalFormatting>
  <conditionalFormatting sqref="AH62">
    <cfRule type="cellIs" dxfId="2201" priority="12" operator="lessThan">
      <formula>I62</formula>
    </cfRule>
    <cfRule type="cellIs" dxfId="2200" priority="13" operator="greaterThan">
      <formula>I62</formula>
    </cfRule>
    <cfRule type="cellIs" dxfId="2199" priority="14" operator="equal">
      <formula>I62</formula>
    </cfRule>
  </conditionalFormatting>
  <conditionalFormatting sqref="E62">
    <cfRule type="cellIs" dxfId="2198" priority="10" operator="equal">
      <formula>"no"</formula>
    </cfRule>
    <cfRule type="cellIs" dxfId="2197" priority="11" operator="equal">
      <formula>"yes"</formula>
    </cfRule>
  </conditionalFormatting>
  <conditionalFormatting sqref="I62">
    <cfRule type="cellIs" dxfId="2196" priority="9" operator="equal">
      <formula>0</formula>
    </cfRule>
  </conditionalFormatting>
  <conditionalFormatting sqref="D62">
    <cfRule type="cellIs" dxfId="2195" priority="8" operator="equal">
      <formula>"TBD"</formula>
    </cfRule>
  </conditionalFormatting>
  <conditionalFormatting sqref="AH61">
    <cfRule type="cellIs" dxfId="2194" priority="5" operator="lessThan">
      <formula>I61</formula>
    </cfRule>
    <cfRule type="cellIs" dxfId="2193" priority="6" operator="greaterThan">
      <formula>I61</formula>
    </cfRule>
    <cfRule type="cellIs" dxfId="2192" priority="7" operator="equal">
      <formula>I61</formula>
    </cfRule>
  </conditionalFormatting>
  <conditionalFormatting sqref="E61">
    <cfRule type="cellIs" dxfId="2191" priority="3" operator="equal">
      <formula>"no"</formula>
    </cfRule>
    <cfRule type="cellIs" dxfId="2190" priority="4" operator="equal">
      <formula>"yes"</formula>
    </cfRule>
  </conditionalFormatting>
  <conditionalFormatting sqref="I61">
    <cfRule type="cellIs" dxfId="2189" priority="2" operator="equal">
      <formula>0</formula>
    </cfRule>
  </conditionalFormatting>
  <conditionalFormatting sqref="D61">
    <cfRule type="cellIs" dxfId="2188" priority="1" operator="equal">
      <formula>"TBD"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A5D8-9096-4A4A-86E1-1B646B852F0A}">
  <dimension ref="A1:AJ130"/>
  <sheetViews>
    <sheetView zoomScale="70" zoomScaleNormal="7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RowHeight="15" x14ac:dyDescent="0.25"/>
  <cols>
    <col min="1" max="1" width="12.42578125" customWidth="1"/>
    <col min="2" max="2" width="43.5703125" bestFit="1" customWidth="1"/>
    <col min="3" max="3" width="5.5703125" style="74" customWidth="1"/>
    <col min="4" max="5" width="11.5703125" style="74" customWidth="1"/>
    <col min="6" max="6" width="13.5703125" style="74" customWidth="1"/>
    <col min="7" max="7" width="12.5703125" style="74" customWidth="1"/>
    <col min="8" max="8" width="14.5703125" style="38" customWidth="1"/>
    <col min="9" max="9" width="18.5703125" style="78" customWidth="1"/>
    <col min="10" max="14" width="15.5703125" style="78" hidden="1" customWidth="1"/>
    <col min="15" max="15" width="4" style="79" customWidth="1"/>
    <col min="16" max="16" width="17.42578125" style="130" bestFit="1" customWidth="1"/>
    <col min="17" max="17" width="3.42578125" style="79" customWidth="1"/>
    <col min="18" max="20" width="19.5703125" style="78" customWidth="1"/>
    <col min="21" max="23" width="19.5703125" style="81" customWidth="1"/>
    <col min="24" max="29" width="19.5703125" style="78" customWidth="1"/>
    <col min="30" max="30" width="4" style="79" customWidth="1"/>
    <col min="31" max="31" width="18.42578125" style="78" customWidth="1"/>
    <col min="32" max="32" width="16.5703125" style="78" customWidth="1"/>
    <col min="33" max="33" width="3.42578125" style="79" customWidth="1"/>
    <col min="34" max="34" width="17.42578125" style="78" customWidth="1"/>
    <col min="35" max="35" width="3.42578125" style="79" customWidth="1"/>
    <col min="36" max="36" width="16" customWidth="1"/>
  </cols>
  <sheetData>
    <row r="1" spans="1:36" s="36" customFormat="1" x14ac:dyDescent="0.25">
      <c r="C1" s="37"/>
      <c r="D1" s="37"/>
      <c r="E1" s="37"/>
      <c r="F1" s="37"/>
      <c r="G1" s="37"/>
      <c r="H1" s="38"/>
      <c r="I1" s="39"/>
      <c r="J1" s="39"/>
      <c r="K1" s="39"/>
      <c r="L1" s="39"/>
      <c r="M1" s="39"/>
      <c r="N1" s="39"/>
      <c r="O1" s="40"/>
      <c r="P1" s="188">
        <v>2020</v>
      </c>
      <c r="Q1" s="42"/>
      <c r="R1" s="526">
        <v>2021</v>
      </c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8"/>
      <c r="AD1" s="40"/>
      <c r="AE1" s="41">
        <v>2022</v>
      </c>
      <c r="AF1" s="43">
        <v>2023</v>
      </c>
      <c r="AG1" s="42"/>
      <c r="AH1" s="41"/>
      <c r="AI1" s="42"/>
    </row>
    <row r="2" spans="1:36" s="36" customFormat="1" ht="31.5" x14ac:dyDescent="0.25">
      <c r="A2" s="62"/>
      <c r="B2" s="63"/>
      <c r="C2" s="44" t="s">
        <v>342</v>
      </c>
      <c r="D2" s="44" t="s">
        <v>343</v>
      </c>
      <c r="E2" s="44" t="s">
        <v>344</v>
      </c>
      <c r="F2" s="44" t="s">
        <v>345</v>
      </c>
      <c r="G2" s="44" t="s">
        <v>346</v>
      </c>
      <c r="H2" s="45" t="s">
        <v>347</v>
      </c>
      <c r="I2" s="46" t="s">
        <v>348</v>
      </c>
      <c r="J2" s="46" t="s">
        <v>349</v>
      </c>
      <c r="K2" s="82" t="s">
        <v>350</v>
      </c>
      <c r="L2" s="82" t="s">
        <v>351</v>
      </c>
      <c r="M2" s="82" t="s">
        <v>350</v>
      </c>
      <c r="N2" s="82"/>
      <c r="O2" s="47"/>
      <c r="P2" s="129" t="s">
        <v>352</v>
      </c>
      <c r="Q2" s="47"/>
      <c r="R2" s="46" t="s">
        <v>353</v>
      </c>
      <c r="S2" s="46" t="s">
        <v>354</v>
      </c>
      <c r="T2" s="46" t="s">
        <v>355</v>
      </c>
      <c r="U2" s="48" t="s">
        <v>356</v>
      </c>
      <c r="V2" s="48" t="s">
        <v>357</v>
      </c>
      <c r="W2" s="46" t="s">
        <v>358</v>
      </c>
      <c r="X2" s="46" t="s">
        <v>359</v>
      </c>
      <c r="Y2" s="48" t="s">
        <v>360</v>
      </c>
      <c r="Z2" s="46" t="s">
        <v>361</v>
      </c>
      <c r="AA2" s="46" t="s">
        <v>362</v>
      </c>
      <c r="AB2" s="48" t="s">
        <v>363</v>
      </c>
      <c r="AC2" s="46" t="s">
        <v>364</v>
      </c>
      <c r="AD2" s="47"/>
      <c r="AE2" s="46" t="s">
        <v>352</v>
      </c>
      <c r="AF2" s="48" t="s">
        <v>352</v>
      </c>
      <c r="AG2" s="47"/>
      <c r="AH2" s="46" t="s">
        <v>365</v>
      </c>
      <c r="AI2" s="47"/>
      <c r="AJ2" s="49" t="s">
        <v>366</v>
      </c>
    </row>
    <row r="3" spans="1:36" s="36" customFormat="1" ht="15.75" x14ac:dyDescent="0.25">
      <c r="A3" s="106" t="s">
        <v>400</v>
      </c>
      <c r="B3" s="107"/>
      <c r="C3" s="101" t="s">
        <v>368</v>
      </c>
      <c r="D3" s="102"/>
      <c r="E3" s="102"/>
      <c r="F3" s="102"/>
      <c r="G3" s="102"/>
      <c r="H3" s="84"/>
      <c r="I3" s="103"/>
      <c r="J3" s="103"/>
      <c r="K3" s="103"/>
      <c r="L3" s="103"/>
      <c r="M3" s="103"/>
      <c r="N3" s="103"/>
      <c r="O3" s="47"/>
      <c r="P3" s="85"/>
      <c r="Q3" s="47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47"/>
      <c r="AE3" s="103"/>
      <c r="AF3" s="103"/>
      <c r="AG3" s="47"/>
      <c r="AH3" s="103"/>
      <c r="AI3" s="51"/>
    </row>
    <row r="4" spans="1:36" s="36" customFormat="1" ht="15.75" x14ac:dyDescent="0.25">
      <c r="A4" s="104" t="s">
        <v>288</v>
      </c>
      <c r="B4" s="105" t="s">
        <v>289</v>
      </c>
      <c r="C4" s="52" t="s">
        <v>368</v>
      </c>
      <c r="D4" s="52" t="s">
        <v>369</v>
      </c>
      <c r="E4" s="52" t="s">
        <v>370</v>
      </c>
      <c r="F4" s="87" t="e">
        <f>#REF!</f>
        <v>#REF!</v>
      </c>
      <c r="G4" s="87" t="e">
        <f>#REF!</f>
        <v>#REF!</v>
      </c>
      <c r="H4" s="88" t="e">
        <f t="shared" ref="H4:H12" si="0">((G4-F4)/7)/4.3</f>
        <v>#REF!</v>
      </c>
      <c r="I4" s="181">
        <v>845876</v>
      </c>
      <c r="J4" s="53"/>
      <c r="K4" s="53"/>
      <c r="L4" s="53"/>
      <c r="M4" s="53"/>
      <c r="N4" s="53"/>
      <c r="O4" s="47"/>
      <c r="P4" s="115">
        <v>628337</v>
      </c>
      <c r="Q4" s="47"/>
      <c r="R4" s="115">
        <v>137155</v>
      </c>
      <c r="S4" s="177">
        <v>19492</v>
      </c>
      <c r="T4" s="115">
        <v>60892</v>
      </c>
      <c r="U4" s="53"/>
      <c r="V4" s="53"/>
      <c r="W4" s="53"/>
      <c r="X4" s="53"/>
      <c r="Y4" s="53"/>
      <c r="Z4" s="53"/>
      <c r="AA4" s="53"/>
      <c r="AB4" s="53"/>
      <c r="AC4" s="53"/>
      <c r="AD4" s="47"/>
      <c r="AE4" s="53"/>
      <c r="AF4" s="53"/>
      <c r="AG4" s="47"/>
      <c r="AH4" s="53">
        <f>SUM(P4:AG4)</f>
        <v>845876</v>
      </c>
      <c r="AI4" s="51"/>
      <c r="AJ4" s="55">
        <f>I4-AH4</f>
        <v>0</v>
      </c>
    </row>
    <row r="5" spans="1:36" s="36" customFormat="1" ht="15.75" x14ac:dyDescent="0.25">
      <c r="A5" s="56" t="s">
        <v>292</v>
      </c>
      <c r="B5" s="57" t="s">
        <v>293</v>
      </c>
      <c r="C5" s="52" t="s">
        <v>368</v>
      </c>
      <c r="D5" s="52" t="s">
        <v>369</v>
      </c>
      <c r="E5" s="52" t="s">
        <v>370</v>
      </c>
      <c r="F5" s="87" t="e">
        <f>#REF!</f>
        <v>#REF!</v>
      </c>
      <c r="G5" s="87" t="e">
        <f>#REF!</f>
        <v>#REF!</v>
      </c>
      <c r="H5" s="88" t="e">
        <f t="shared" si="0"/>
        <v>#REF!</v>
      </c>
      <c r="I5" s="181">
        <v>297313</v>
      </c>
      <c r="J5" s="53"/>
      <c r="K5" s="53"/>
      <c r="L5" s="53"/>
      <c r="M5" s="53"/>
      <c r="N5" s="53"/>
      <c r="O5" s="47"/>
      <c r="P5" s="115">
        <v>162612</v>
      </c>
      <c r="Q5" s="47"/>
      <c r="R5" s="115">
        <v>95646</v>
      </c>
      <c r="S5" s="177">
        <v>33342</v>
      </c>
      <c r="T5" s="115">
        <v>5713</v>
      </c>
      <c r="U5" s="53"/>
      <c r="V5" s="53"/>
      <c r="W5" s="53"/>
      <c r="X5" s="53"/>
      <c r="Y5" s="53"/>
      <c r="Z5" s="53"/>
      <c r="AA5" s="53"/>
      <c r="AB5" s="53"/>
      <c r="AC5" s="53"/>
      <c r="AD5" s="47"/>
      <c r="AE5" s="53"/>
      <c r="AF5" s="53"/>
      <c r="AG5" s="47"/>
      <c r="AH5" s="53">
        <f t="shared" ref="AH5:AH11" si="1">SUM(P5:AG5)</f>
        <v>297313</v>
      </c>
      <c r="AI5" s="51"/>
      <c r="AJ5" s="55">
        <f t="shared" ref="AJ5:AJ63" si="2">I5-AH5</f>
        <v>0</v>
      </c>
    </row>
    <row r="6" spans="1:36" s="36" customFormat="1" ht="15.75" x14ac:dyDescent="0.25">
      <c r="A6" s="56" t="s">
        <v>295</v>
      </c>
      <c r="B6" s="57" t="s">
        <v>296</v>
      </c>
      <c r="C6" s="52" t="s">
        <v>368</v>
      </c>
      <c r="D6" s="52" t="s">
        <v>369</v>
      </c>
      <c r="E6" s="52" t="s">
        <v>370</v>
      </c>
      <c r="F6" s="87" t="e">
        <f>#REF!</f>
        <v>#REF!</v>
      </c>
      <c r="G6" s="87" t="e">
        <f>#REF!</f>
        <v>#REF!</v>
      </c>
      <c r="H6" s="88" t="e">
        <f t="shared" si="0"/>
        <v>#REF!</v>
      </c>
      <c r="I6" s="181">
        <v>222517</v>
      </c>
      <c r="J6" s="53"/>
      <c r="K6" s="53"/>
      <c r="L6" s="53"/>
      <c r="M6" s="53"/>
      <c r="N6" s="53"/>
      <c r="O6" s="47"/>
      <c r="P6" s="115">
        <v>131745</v>
      </c>
      <c r="Q6" s="47"/>
      <c r="R6" s="115">
        <v>62828</v>
      </c>
      <c r="S6" s="177">
        <v>27944</v>
      </c>
      <c r="T6" s="115"/>
      <c r="U6" s="53"/>
      <c r="V6" s="53"/>
      <c r="W6" s="53"/>
      <c r="X6" s="53"/>
      <c r="Y6" s="53"/>
      <c r="Z6" s="53"/>
      <c r="AA6" s="53"/>
      <c r="AB6" s="53"/>
      <c r="AC6" s="53"/>
      <c r="AD6" s="47"/>
      <c r="AE6" s="53"/>
      <c r="AF6" s="53"/>
      <c r="AG6" s="47"/>
      <c r="AH6" s="53">
        <f t="shared" si="1"/>
        <v>222517</v>
      </c>
      <c r="AI6" s="51"/>
      <c r="AJ6" s="55">
        <f t="shared" si="2"/>
        <v>0</v>
      </c>
    </row>
    <row r="7" spans="1:36" s="36" customFormat="1" ht="15.75" x14ac:dyDescent="0.25">
      <c r="A7" s="56" t="s">
        <v>23</v>
      </c>
      <c r="B7" s="57" t="s">
        <v>25</v>
      </c>
      <c r="C7" s="52" t="s">
        <v>368</v>
      </c>
      <c r="D7" s="52" t="s">
        <v>369</v>
      </c>
      <c r="E7" s="52" t="s">
        <v>370</v>
      </c>
      <c r="F7" s="87">
        <v>44144</v>
      </c>
      <c r="G7" s="87">
        <v>44386</v>
      </c>
      <c r="H7" s="88">
        <f t="shared" si="0"/>
        <v>8.0398671096345513</v>
      </c>
      <c r="I7" s="181">
        <v>1207684</v>
      </c>
      <c r="J7" s="53"/>
      <c r="K7" s="53"/>
      <c r="L7" s="53"/>
      <c r="M7" s="53"/>
      <c r="N7" s="53"/>
      <c r="O7" s="47"/>
      <c r="P7" s="115">
        <v>244435</v>
      </c>
      <c r="Q7" s="47"/>
      <c r="R7" s="115">
        <v>181308</v>
      </c>
      <c r="S7" s="115">
        <v>16313</v>
      </c>
      <c r="T7" s="115">
        <v>286477</v>
      </c>
      <c r="U7" s="54">
        <v>150000</v>
      </c>
      <c r="V7" s="54">
        <v>160000</v>
      </c>
      <c r="W7" s="54">
        <v>160000</v>
      </c>
      <c r="X7" s="54">
        <v>9151</v>
      </c>
      <c r="Y7" s="53"/>
      <c r="Z7" s="53"/>
      <c r="AA7" s="53"/>
      <c r="AB7" s="53"/>
      <c r="AC7" s="53"/>
      <c r="AD7" s="47"/>
      <c r="AE7" s="53"/>
      <c r="AF7" s="53"/>
      <c r="AG7" s="47"/>
      <c r="AH7" s="53">
        <f t="shared" si="1"/>
        <v>1207684</v>
      </c>
      <c r="AI7" s="51"/>
      <c r="AJ7" s="55">
        <f t="shared" si="2"/>
        <v>0</v>
      </c>
    </row>
    <row r="8" spans="1:36" s="36" customFormat="1" ht="15.75" x14ac:dyDescent="0.25">
      <c r="A8" s="56" t="s">
        <v>31</v>
      </c>
      <c r="B8" s="57" t="s">
        <v>32</v>
      </c>
      <c r="C8" s="52" t="s">
        <v>368</v>
      </c>
      <c r="D8" s="52" t="s">
        <v>369</v>
      </c>
      <c r="E8" s="52" t="s">
        <v>370</v>
      </c>
      <c r="F8" s="87">
        <v>44144</v>
      </c>
      <c r="G8" s="87">
        <v>44386</v>
      </c>
      <c r="H8" s="88">
        <f t="shared" si="0"/>
        <v>8.0398671096345513</v>
      </c>
      <c r="I8" s="181">
        <v>267573</v>
      </c>
      <c r="J8" s="53"/>
      <c r="K8" s="53"/>
      <c r="L8" s="53"/>
      <c r="M8" s="53"/>
      <c r="N8" s="53"/>
      <c r="O8" s="47"/>
      <c r="P8" s="115">
        <v>46929</v>
      </c>
      <c r="Q8" s="47"/>
      <c r="R8" s="115">
        <v>38525</v>
      </c>
      <c r="S8" s="115"/>
      <c r="T8" s="115">
        <v>45735</v>
      </c>
      <c r="U8" s="54">
        <v>40000</v>
      </c>
      <c r="V8" s="54">
        <v>40000</v>
      </c>
      <c r="W8" s="54">
        <v>40000</v>
      </c>
      <c r="X8" s="54">
        <v>16384</v>
      </c>
      <c r="Y8" s="53"/>
      <c r="Z8" s="53"/>
      <c r="AA8" s="53"/>
      <c r="AB8" s="53"/>
      <c r="AC8" s="53"/>
      <c r="AD8" s="47"/>
      <c r="AE8" s="53"/>
      <c r="AF8" s="53"/>
      <c r="AG8" s="47"/>
      <c r="AH8" s="53">
        <f t="shared" si="1"/>
        <v>267573</v>
      </c>
      <c r="AI8" s="51"/>
      <c r="AJ8" s="55">
        <f t="shared" si="2"/>
        <v>0</v>
      </c>
    </row>
    <row r="9" spans="1:36" s="36" customFormat="1" ht="15.75" x14ac:dyDescent="0.25">
      <c r="A9" s="56" t="s">
        <v>33</v>
      </c>
      <c r="B9" s="57" t="s">
        <v>34</v>
      </c>
      <c r="C9" s="52" t="s">
        <v>368</v>
      </c>
      <c r="D9" s="52" t="s">
        <v>369</v>
      </c>
      <c r="E9" s="52" t="s">
        <v>370</v>
      </c>
      <c r="F9" s="87">
        <v>44144</v>
      </c>
      <c r="G9" s="87">
        <v>44386</v>
      </c>
      <c r="H9" s="88">
        <f t="shared" si="0"/>
        <v>8.0398671096345513</v>
      </c>
      <c r="I9" s="181">
        <v>230170</v>
      </c>
      <c r="J9" s="53"/>
      <c r="K9" s="53"/>
      <c r="L9" s="53"/>
      <c r="M9" s="53"/>
      <c r="N9" s="53"/>
      <c r="O9" s="47"/>
      <c r="P9" s="115">
        <v>34010</v>
      </c>
      <c r="Q9" s="47"/>
      <c r="R9" s="115">
        <v>31345</v>
      </c>
      <c r="S9" s="115"/>
      <c r="T9" s="115">
        <v>42608</v>
      </c>
      <c r="U9" s="54">
        <v>40000</v>
      </c>
      <c r="V9" s="54">
        <v>45000</v>
      </c>
      <c r="W9" s="54">
        <v>35000</v>
      </c>
      <c r="X9" s="54">
        <v>2207</v>
      </c>
      <c r="Y9" s="53"/>
      <c r="Z9" s="53"/>
      <c r="AA9" s="53"/>
      <c r="AB9" s="53"/>
      <c r="AC9" s="53"/>
      <c r="AD9" s="47"/>
      <c r="AE9" s="53"/>
      <c r="AF9" s="53"/>
      <c r="AG9" s="47"/>
      <c r="AH9" s="53">
        <f t="shared" si="1"/>
        <v>230170</v>
      </c>
      <c r="AI9" s="51"/>
      <c r="AJ9" s="55">
        <f t="shared" si="2"/>
        <v>0</v>
      </c>
    </row>
    <row r="10" spans="1:36" s="36" customFormat="1" ht="15.75" x14ac:dyDescent="0.25">
      <c r="A10" s="56" t="s">
        <v>35</v>
      </c>
      <c r="B10" s="57" t="s">
        <v>36</v>
      </c>
      <c r="C10" s="52" t="s">
        <v>368</v>
      </c>
      <c r="D10" s="52" t="s">
        <v>401</v>
      </c>
      <c r="E10" s="52" t="s">
        <v>370</v>
      </c>
      <c r="F10" s="87">
        <v>44241</v>
      </c>
      <c r="G10" s="87">
        <v>44439</v>
      </c>
      <c r="H10" s="88">
        <f t="shared" si="0"/>
        <v>6.5780730897009967</v>
      </c>
      <c r="I10" s="181">
        <v>984546</v>
      </c>
      <c r="J10" s="53"/>
      <c r="K10" s="53"/>
      <c r="L10" s="53"/>
      <c r="M10" s="53"/>
      <c r="N10" s="53"/>
      <c r="O10" s="47"/>
      <c r="P10" s="115">
        <v>230830</v>
      </c>
      <c r="Q10" s="47"/>
      <c r="R10" s="115">
        <v>155142</v>
      </c>
      <c r="S10" s="115">
        <v>20934</v>
      </c>
      <c r="T10" s="115">
        <v>247073</v>
      </c>
      <c r="U10" s="54">
        <v>100000</v>
      </c>
      <c r="V10" s="54">
        <v>100000</v>
      </c>
      <c r="W10" s="54">
        <v>84583</v>
      </c>
      <c r="X10" s="54">
        <v>0</v>
      </c>
      <c r="Y10" s="54">
        <v>45984</v>
      </c>
      <c r="Z10" s="53"/>
      <c r="AA10" s="53"/>
      <c r="AB10" s="53"/>
      <c r="AC10" s="53"/>
      <c r="AD10" s="47"/>
      <c r="AE10" s="53"/>
      <c r="AF10" s="53"/>
      <c r="AG10" s="47"/>
      <c r="AH10" s="53">
        <f t="shared" si="1"/>
        <v>984546</v>
      </c>
      <c r="AI10" s="51"/>
      <c r="AJ10" s="55">
        <f t="shared" si="2"/>
        <v>0</v>
      </c>
    </row>
    <row r="11" spans="1:36" s="36" customFormat="1" ht="15.75" x14ac:dyDescent="0.25">
      <c r="A11" s="34" t="s">
        <v>41</v>
      </c>
      <c r="B11" s="35" t="s">
        <v>42</v>
      </c>
      <c r="C11" s="52" t="s">
        <v>368</v>
      </c>
      <c r="D11" s="52" t="s">
        <v>371</v>
      </c>
      <c r="E11" s="52" t="s">
        <v>370</v>
      </c>
      <c r="F11" s="87">
        <v>44256</v>
      </c>
      <c r="G11" s="87">
        <v>44406</v>
      </c>
      <c r="H11" s="88">
        <f t="shared" si="0"/>
        <v>4.9833887043189371</v>
      </c>
      <c r="I11" s="181">
        <v>723063</v>
      </c>
      <c r="J11" s="53"/>
      <c r="K11" s="53"/>
      <c r="L11" s="53"/>
      <c r="M11" s="53"/>
      <c r="N11" s="53"/>
      <c r="O11" s="47"/>
      <c r="P11" s="115"/>
      <c r="Q11" s="47"/>
      <c r="R11" s="115"/>
      <c r="S11" s="115"/>
      <c r="T11" s="115">
        <v>79004</v>
      </c>
      <c r="U11" s="54">
        <v>140000</v>
      </c>
      <c r="V11" s="54">
        <v>140000</v>
      </c>
      <c r="W11" s="54">
        <v>163063</v>
      </c>
      <c r="X11" s="54">
        <v>200996</v>
      </c>
      <c r="Y11" s="58"/>
      <c r="Z11" s="58"/>
      <c r="AA11" s="58"/>
      <c r="AB11" s="58"/>
      <c r="AC11" s="53"/>
      <c r="AD11" s="47"/>
      <c r="AE11" s="53"/>
      <c r="AF11" s="53"/>
      <c r="AG11" s="47"/>
      <c r="AH11" s="53">
        <f t="shared" si="1"/>
        <v>723063</v>
      </c>
      <c r="AI11" s="51"/>
      <c r="AJ11" s="55">
        <f t="shared" si="2"/>
        <v>0</v>
      </c>
    </row>
    <row r="12" spans="1:36" s="36" customFormat="1" ht="15.75" x14ac:dyDescent="0.25">
      <c r="A12" s="34" t="s">
        <v>47</v>
      </c>
      <c r="B12" s="35" t="s">
        <v>48</v>
      </c>
      <c r="C12" s="52" t="s">
        <v>368</v>
      </c>
      <c r="D12" s="52" t="s">
        <v>401</v>
      </c>
      <c r="E12" s="52" t="s">
        <v>370</v>
      </c>
      <c r="F12" s="87">
        <v>44228</v>
      </c>
      <c r="G12" s="87">
        <v>44286</v>
      </c>
      <c r="H12" s="88">
        <f t="shared" si="0"/>
        <v>1.9269102990033224</v>
      </c>
      <c r="I12" s="181">
        <v>81500</v>
      </c>
      <c r="J12" s="53"/>
      <c r="K12" s="53"/>
      <c r="L12" s="53"/>
      <c r="M12" s="53"/>
      <c r="N12" s="53"/>
      <c r="O12" s="47"/>
      <c r="P12" s="115"/>
      <c r="Q12" s="47"/>
      <c r="R12" s="115"/>
      <c r="S12" s="115"/>
      <c r="T12" s="115">
        <v>81500</v>
      </c>
      <c r="U12" s="54">
        <v>0</v>
      </c>
      <c r="V12" s="54">
        <v>0</v>
      </c>
      <c r="W12" s="58"/>
      <c r="X12" s="53"/>
      <c r="Y12" s="53"/>
      <c r="Z12" s="53"/>
      <c r="AA12" s="53"/>
      <c r="AB12" s="53"/>
      <c r="AC12" s="53"/>
      <c r="AD12" s="47"/>
      <c r="AE12" s="53"/>
      <c r="AF12" s="53"/>
      <c r="AG12" s="47"/>
      <c r="AH12" s="53">
        <f>SUM(P12:AG12)</f>
        <v>81500</v>
      </c>
      <c r="AI12" s="51"/>
      <c r="AJ12" s="55">
        <f t="shared" si="2"/>
        <v>0</v>
      </c>
    </row>
    <row r="13" spans="1:36" s="36" customFormat="1" ht="15.75" x14ac:dyDescent="0.25">
      <c r="A13" s="95"/>
      <c r="B13" s="95"/>
      <c r="C13" s="91"/>
      <c r="D13" s="91"/>
      <c r="E13" s="91"/>
      <c r="F13" s="91"/>
      <c r="G13" s="91"/>
      <c r="H13" s="92"/>
      <c r="I13" s="59">
        <f>SUM(I4:I12)</f>
        <v>4860242</v>
      </c>
      <c r="J13" s="59"/>
      <c r="K13" s="59"/>
      <c r="L13" s="59"/>
      <c r="M13" s="59"/>
      <c r="N13" s="59"/>
      <c r="O13" s="47"/>
      <c r="P13" s="59">
        <f>SUM(P4:P12)</f>
        <v>1478898</v>
      </c>
      <c r="Q13" s="47"/>
      <c r="R13" s="59">
        <f t="shared" ref="R13:AC13" si="3">SUM(R4:R12)</f>
        <v>701949</v>
      </c>
      <c r="S13" s="59">
        <f t="shared" si="3"/>
        <v>118025</v>
      </c>
      <c r="T13" s="59">
        <f t="shared" si="3"/>
        <v>849002</v>
      </c>
      <c r="U13" s="59">
        <f t="shared" si="3"/>
        <v>470000</v>
      </c>
      <c r="V13" s="59">
        <f t="shared" si="3"/>
        <v>485000</v>
      </c>
      <c r="W13" s="59">
        <f t="shared" si="3"/>
        <v>482646</v>
      </c>
      <c r="X13" s="59">
        <f t="shared" si="3"/>
        <v>228738</v>
      </c>
      <c r="Y13" s="59">
        <f t="shared" si="3"/>
        <v>45984</v>
      </c>
      <c r="Z13" s="59">
        <f t="shared" si="3"/>
        <v>0</v>
      </c>
      <c r="AA13" s="59">
        <f t="shared" si="3"/>
        <v>0</v>
      </c>
      <c r="AB13" s="59">
        <f t="shared" si="3"/>
        <v>0</v>
      </c>
      <c r="AC13" s="59">
        <f t="shared" si="3"/>
        <v>0</v>
      </c>
      <c r="AD13" s="47"/>
      <c r="AE13" s="59">
        <f>SUM(AE4:AE12)</f>
        <v>0</v>
      </c>
      <c r="AF13" s="59">
        <f>SUM(AF4:AF12)</f>
        <v>0</v>
      </c>
      <c r="AG13" s="47"/>
      <c r="AH13" s="59">
        <f>SUM(P13:AG13)</f>
        <v>4860242</v>
      </c>
      <c r="AI13" s="51"/>
      <c r="AJ13" s="55">
        <f t="shared" si="2"/>
        <v>0</v>
      </c>
    </row>
    <row r="14" spans="1:36" s="36" customFormat="1" ht="15.75" x14ac:dyDescent="0.25">
      <c r="A14" s="106" t="s">
        <v>52</v>
      </c>
      <c r="B14" s="107"/>
      <c r="C14" s="101" t="s">
        <v>373</v>
      </c>
      <c r="D14" s="102"/>
      <c r="E14" s="102"/>
      <c r="F14" s="102"/>
      <c r="G14" s="102"/>
      <c r="H14" s="84"/>
      <c r="I14" s="193"/>
      <c r="J14" s="103"/>
      <c r="K14" s="103"/>
      <c r="L14" s="103"/>
      <c r="M14" s="103"/>
      <c r="N14" s="103"/>
      <c r="O14" s="47"/>
      <c r="P14" s="85"/>
      <c r="Q14" s="47"/>
      <c r="R14" s="103"/>
      <c r="S14" s="103"/>
      <c r="T14" s="103"/>
      <c r="U14" s="103"/>
      <c r="V14" s="103"/>
      <c r="W14" s="103">
        <v>781920</v>
      </c>
      <c r="X14" s="103"/>
      <c r="Y14" s="103"/>
      <c r="Z14" s="103"/>
      <c r="AA14" s="103"/>
      <c r="AB14" s="103"/>
      <c r="AC14" s="103"/>
      <c r="AD14" s="47"/>
      <c r="AE14" s="103"/>
      <c r="AF14" s="103"/>
      <c r="AG14" s="47"/>
      <c r="AH14" s="85"/>
      <c r="AI14" s="51"/>
      <c r="AJ14" s="55">
        <f t="shared" si="2"/>
        <v>0</v>
      </c>
    </row>
    <row r="15" spans="1:36" s="36" customFormat="1" ht="15.75" x14ac:dyDescent="0.25">
      <c r="A15" s="60" t="s">
        <v>49</v>
      </c>
      <c r="B15" s="61" t="s">
        <v>374</v>
      </c>
      <c r="C15" s="52" t="s">
        <v>373</v>
      </c>
      <c r="D15" s="52" t="s">
        <v>375</v>
      </c>
      <c r="E15" s="52" t="s">
        <v>370</v>
      </c>
      <c r="F15" s="87">
        <v>44033</v>
      </c>
      <c r="G15" s="87">
        <v>44371</v>
      </c>
      <c r="H15" s="88">
        <f>((G15-F15)/7)/4.3</f>
        <v>11.22923588039867</v>
      </c>
      <c r="I15" s="181">
        <v>9534114</v>
      </c>
      <c r="J15" s="53">
        <v>8913792</v>
      </c>
      <c r="K15" s="53">
        <f>I15-J15</f>
        <v>620322</v>
      </c>
      <c r="L15" s="53">
        <v>8917546</v>
      </c>
      <c r="M15" s="53">
        <f>I15-L15</f>
        <v>616568</v>
      </c>
      <c r="N15" s="53">
        <f>K15-M15</f>
        <v>3754</v>
      </c>
      <c r="O15" s="47"/>
      <c r="P15" s="115">
        <v>4251267</v>
      </c>
      <c r="Q15" s="47"/>
      <c r="R15" s="115">
        <v>974630</v>
      </c>
      <c r="S15" s="115">
        <v>965506</v>
      </c>
      <c r="T15" s="115">
        <v>726926</v>
      </c>
      <c r="U15" s="54">
        <v>1016301</v>
      </c>
      <c r="V15" s="54">
        <v>817564</v>
      </c>
      <c r="W15" s="54">
        <v>781920</v>
      </c>
      <c r="X15" s="58"/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47"/>
      <c r="AE15" s="53"/>
      <c r="AF15" s="53"/>
      <c r="AG15" s="47"/>
      <c r="AH15" s="53">
        <f>SUM(P15:AG15)</f>
        <v>9534114</v>
      </c>
      <c r="AI15" s="51"/>
      <c r="AJ15" s="55">
        <f t="shared" si="2"/>
        <v>0</v>
      </c>
    </row>
    <row r="16" spans="1:36" s="36" customFormat="1" ht="15.75" x14ac:dyDescent="0.25">
      <c r="A16" s="34" t="s">
        <v>55</v>
      </c>
      <c r="B16" s="35" t="s">
        <v>376</v>
      </c>
      <c r="C16" s="52" t="s">
        <v>373</v>
      </c>
      <c r="D16" s="52" t="s">
        <v>401</v>
      </c>
      <c r="E16" s="52" t="s">
        <v>370</v>
      </c>
      <c r="F16" s="87">
        <v>44124</v>
      </c>
      <c r="G16" s="87">
        <v>44354</v>
      </c>
      <c r="H16" s="88">
        <f>((G16-F16)/7)/4.3</f>
        <v>7.6411960132890364</v>
      </c>
      <c r="I16" s="181">
        <v>1208821</v>
      </c>
      <c r="J16" s="53">
        <v>1021270</v>
      </c>
      <c r="K16" s="53">
        <f>I16-J16</f>
        <v>187551</v>
      </c>
      <c r="L16" s="53">
        <v>945919</v>
      </c>
      <c r="M16" s="53">
        <f>I16-L16</f>
        <v>262902</v>
      </c>
      <c r="N16" s="53">
        <f>K16-M16</f>
        <v>-75351</v>
      </c>
      <c r="O16" s="47"/>
      <c r="P16" s="115">
        <v>501155</v>
      </c>
      <c r="Q16" s="47"/>
      <c r="R16" s="115">
        <v>186495</v>
      </c>
      <c r="S16" s="115">
        <v>202246</v>
      </c>
      <c r="T16" s="115">
        <v>66602</v>
      </c>
      <c r="U16" s="54">
        <v>160707</v>
      </c>
      <c r="V16" s="187">
        <v>91616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47"/>
      <c r="AE16" s="53"/>
      <c r="AF16" s="53"/>
      <c r="AG16" s="47"/>
      <c r="AH16" s="53">
        <f>SUM(P16:AG16)</f>
        <v>1208821</v>
      </c>
      <c r="AI16" s="51"/>
      <c r="AJ16" s="55">
        <f t="shared" si="2"/>
        <v>0</v>
      </c>
    </row>
    <row r="17" spans="1:36" s="36" customFormat="1" ht="15.75" x14ac:dyDescent="0.25">
      <c r="A17" s="34" t="s">
        <v>60</v>
      </c>
      <c r="B17" s="35" t="s">
        <v>377</v>
      </c>
      <c r="C17" s="52" t="s">
        <v>373</v>
      </c>
      <c r="D17" s="52" t="s">
        <v>378</v>
      </c>
      <c r="E17" s="52" t="s">
        <v>370</v>
      </c>
      <c r="F17" s="87">
        <v>44119</v>
      </c>
      <c r="G17" s="87">
        <v>44546</v>
      </c>
      <c r="H17" s="88">
        <f>((G17-F17)/7)/4.3</f>
        <v>14.186046511627907</v>
      </c>
      <c r="I17" s="181">
        <v>13107911</v>
      </c>
      <c r="J17" s="53">
        <v>12555112</v>
      </c>
      <c r="K17" s="53">
        <f>I17-J17</f>
        <v>552799</v>
      </c>
      <c r="L17" s="53">
        <v>12611053</v>
      </c>
      <c r="M17" s="53">
        <f>I17-L17</f>
        <v>496858</v>
      </c>
      <c r="N17" s="53">
        <f>K17-M17</f>
        <v>55941</v>
      </c>
      <c r="O17" s="47"/>
      <c r="P17" s="115">
        <v>802663</v>
      </c>
      <c r="Q17" s="47"/>
      <c r="R17" s="115">
        <v>1051823</v>
      </c>
      <c r="S17" s="115">
        <v>822272</v>
      </c>
      <c r="T17" s="115">
        <v>1170091</v>
      </c>
      <c r="U17" s="54">
        <v>1300000</v>
      </c>
      <c r="V17" s="54">
        <v>1400000</v>
      </c>
      <c r="W17" s="54">
        <v>1450000</v>
      </c>
      <c r="X17" s="54">
        <v>1379154</v>
      </c>
      <c r="Y17" s="54">
        <v>1270563</v>
      </c>
      <c r="Z17" s="54">
        <v>843964</v>
      </c>
      <c r="AA17" s="54">
        <v>843964</v>
      </c>
      <c r="AB17" s="54">
        <v>520154</v>
      </c>
      <c r="AC17" s="54">
        <v>253263</v>
      </c>
      <c r="AD17" s="47"/>
      <c r="AE17" s="53"/>
      <c r="AF17" s="53"/>
      <c r="AG17" s="47"/>
      <c r="AH17" s="53">
        <f>SUM(P17:AG17)</f>
        <v>13107911</v>
      </c>
      <c r="AI17" s="51"/>
      <c r="AJ17" s="55">
        <f t="shared" si="2"/>
        <v>0</v>
      </c>
    </row>
    <row r="18" spans="1:36" s="36" customFormat="1" ht="15.75" x14ac:dyDescent="0.25">
      <c r="A18" s="93"/>
      <c r="B18" s="94"/>
      <c r="C18" s="91"/>
      <c r="D18" s="91"/>
      <c r="E18" s="91"/>
      <c r="F18" s="91"/>
      <c r="G18" s="91"/>
      <c r="H18" s="92"/>
      <c r="I18" s="59">
        <f>SUM(I15:I17)</f>
        <v>23850846</v>
      </c>
      <c r="J18" s="59"/>
      <c r="K18" s="59"/>
      <c r="L18" s="59"/>
      <c r="M18" s="59"/>
      <c r="N18" s="59"/>
      <c r="O18" s="47"/>
      <c r="P18" s="59">
        <f>SUM(P15:P17)</f>
        <v>5555085</v>
      </c>
      <c r="Q18" s="47"/>
      <c r="R18" s="59">
        <f>SUM(R15:R17)</f>
        <v>2212948</v>
      </c>
      <c r="S18" s="59">
        <f t="shared" ref="S18:AC18" si="4">SUM(S15:S17)</f>
        <v>1990024</v>
      </c>
      <c r="T18" s="59">
        <f t="shared" si="4"/>
        <v>1963619</v>
      </c>
      <c r="U18" s="59">
        <f t="shared" si="4"/>
        <v>2477008</v>
      </c>
      <c r="V18" s="59">
        <f t="shared" si="4"/>
        <v>2309180</v>
      </c>
      <c r="W18" s="59">
        <f t="shared" si="4"/>
        <v>2231920</v>
      </c>
      <c r="X18" s="59">
        <f t="shared" si="4"/>
        <v>1379154</v>
      </c>
      <c r="Y18" s="59">
        <f t="shared" si="4"/>
        <v>1270563</v>
      </c>
      <c r="Z18" s="59">
        <f t="shared" si="4"/>
        <v>843964</v>
      </c>
      <c r="AA18" s="59">
        <f t="shared" si="4"/>
        <v>843964</v>
      </c>
      <c r="AB18" s="59">
        <f t="shared" si="4"/>
        <v>520154</v>
      </c>
      <c r="AC18" s="59">
        <f t="shared" si="4"/>
        <v>253263</v>
      </c>
      <c r="AD18" s="47"/>
      <c r="AE18" s="59">
        <f>SUM(AE14:AE17)</f>
        <v>0</v>
      </c>
      <c r="AF18" s="59">
        <f>SUM(AF14:AF17)</f>
        <v>0</v>
      </c>
      <c r="AG18" s="47"/>
      <c r="AH18" s="53">
        <f t="shared" ref="AH18:AH23" si="5">SUM(P18:AG18)</f>
        <v>23850846</v>
      </c>
      <c r="AI18" s="51"/>
      <c r="AJ18" s="55">
        <f t="shared" si="2"/>
        <v>0</v>
      </c>
    </row>
    <row r="19" spans="1:36" s="36" customFormat="1" ht="15.75" x14ac:dyDescent="0.25">
      <c r="A19" s="106" t="s">
        <v>379</v>
      </c>
      <c r="B19" s="107"/>
      <c r="C19" s="101" t="s">
        <v>380</v>
      </c>
      <c r="D19" s="102"/>
      <c r="E19" s="102"/>
      <c r="F19" s="102"/>
      <c r="G19" s="102"/>
      <c r="H19" s="84"/>
      <c r="I19" s="193" t="s">
        <v>444</v>
      </c>
      <c r="J19" s="103"/>
      <c r="K19" s="103"/>
      <c r="L19" s="103"/>
      <c r="M19" s="103"/>
      <c r="N19" s="103"/>
      <c r="O19" s="47"/>
      <c r="P19" s="85"/>
      <c r="Q19" s="47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47"/>
      <c r="AE19" s="103"/>
      <c r="AF19" s="103"/>
      <c r="AG19" s="47"/>
      <c r="AH19" s="85"/>
      <c r="AI19" s="51"/>
      <c r="AJ19" s="55">
        <f t="shared" si="2"/>
        <v>0</v>
      </c>
    </row>
    <row r="20" spans="1:36" s="36" customFormat="1" ht="15.75" x14ac:dyDescent="0.25">
      <c r="A20" s="60" t="s">
        <v>269</v>
      </c>
      <c r="B20" s="61" t="s">
        <v>270</v>
      </c>
      <c r="C20" s="52" t="s">
        <v>380</v>
      </c>
      <c r="D20" s="52" t="s">
        <v>381</v>
      </c>
      <c r="E20" s="52" t="s">
        <v>370</v>
      </c>
      <c r="F20" s="52" t="e">
        <f>#REF!</f>
        <v>#REF!</v>
      </c>
      <c r="G20" s="52" t="e">
        <f>#REF!</f>
        <v>#REF!</v>
      </c>
      <c r="H20" s="50" t="e">
        <f t="shared" ref="H20:H30" si="6">((G20-F20)/7)/4.3</f>
        <v>#REF!</v>
      </c>
      <c r="I20" s="182">
        <v>890454</v>
      </c>
      <c r="J20" s="53"/>
      <c r="K20" s="53"/>
      <c r="L20" s="53"/>
      <c r="M20" s="53"/>
      <c r="N20" s="53"/>
      <c r="O20" s="47"/>
      <c r="P20" s="115">
        <v>890454</v>
      </c>
      <c r="Q20" s="47"/>
      <c r="R20" s="115"/>
      <c r="S20" s="115"/>
      <c r="T20" s="115"/>
      <c r="U20" s="53"/>
      <c r="V20" s="53"/>
      <c r="W20" s="53"/>
      <c r="X20" s="53"/>
      <c r="Y20" s="53"/>
      <c r="Z20" s="53"/>
      <c r="AA20" s="53"/>
      <c r="AB20" s="53"/>
      <c r="AC20" s="53"/>
      <c r="AD20" s="47"/>
      <c r="AE20" s="53"/>
      <c r="AF20" s="53"/>
      <c r="AG20" s="47"/>
      <c r="AH20" s="53">
        <f t="shared" si="5"/>
        <v>890454</v>
      </c>
      <c r="AI20" s="51"/>
      <c r="AJ20" s="55">
        <f t="shared" si="2"/>
        <v>0</v>
      </c>
    </row>
    <row r="21" spans="1:36" s="36" customFormat="1" ht="15.75" x14ac:dyDescent="0.25">
      <c r="A21" s="60" t="s">
        <v>65</v>
      </c>
      <c r="B21" s="61" t="s">
        <v>66</v>
      </c>
      <c r="C21" s="52" t="s">
        <v>380</v>
      </c>
      <c r="D21" s="52" t="s">
        <v>381</v>
      </c>
      <c r="E21" s="52" t="s">
        <v>370</v>
      </c>
      <c r="F21" s="52">
        <v>44004</v>
      </c>
      <c r="G21" s="87">
        <v>44301</v>
      </c>
      <c r="H21" s="50">
        <f t="shared" si="6"/>
        <v>9.867109634551495</v>
      </c>
      <c r="I21" s="182">
        <v>2499778</v>
      </c>
      <c r="J21" s="53"/>
      <c r="K21" s="53"/>
      <c r="L21" s="53"/>
      <c r="M21" s="53"/>
      <c r="N21" s="53"/>
      <c r="O21" s="47"/>
      <c r="P21" s="115">
        <v>1697608</v>
      </c>
      <c r="Q21" s="47"/>
      <c r="R21" s="115">
        <v>93223</v>
      </c>
      <c r="S21" s="115"/>
      <c r="T21" s="115">
        <v>247214</v>
      </c>
      <c r="U21" s="187">
        <v>461733</v>
      </c>
      <c r="V21" s="53"/>
      <c r="W21" s="53"/>
      <c r="X21" s="53"/>
      <c r="Y21" s="53"/>
      <c r="Z21" s="53"/>
      <c r="AA21" s="53"/>
      <c r="AB21" s="53"/>
      <c r="AC21" s="53"/>
      <c r="AD21" s="47"/>
      <c r="AE21" s="53"/>
      <c r="AF21" s="53"/>
      <c r="AG21" s="47"/>
      <c r="AH21" s="53">
        <f t="shared" si="5"/>
        <v>2499778</v>
      </c>
      <c r="AI21" s="51"/>
      <c r="AJ21" s="55">
        <f t="shared" si="2"/>
        <v>0</v>
      </c>
    </row>
    <row r="22" spans="1:36" s="36" customFormat="1" ht="15.75" x14ac:dyDescent="0.25">
      <c r="A22" s="34" t="s">
        <v>71</v>
      </c>
      <c r="B22" s="35" t="s">
        <v>72</v>
      </c>
      <c r="C22" s="52" t="s">
        <v>380</v>
      </c>
      <c r="D22" s="52" t="s">
        <v>381</v>
      </c>
      <c r="E22" s="52" t="s">
        <v>320</v>
      </c>
      <c r="F22" s="52">
        <v>44317</v>
      </c>
      <c r="G22" s="52">
        <v>44407</v>
      </c>
      <c r="H22" s="50">
        <f t="shared" si="6"/>
        <v>2.9900332225913622</v>
      </c>
      <c r="I22" s="53">
        <v>177819</v>
      </c>
      <c r="J22" s="53"/>
      <c r="K22" s="53"/>
      <c r="L22" s="53"/>
      <c r="M22" s="53"/>
      <c r="N22" s="53"/>
      <c r="O22" s="47"/>
      <c r="P22" s="115"/>
      <c r="Q22" s="47"/>
      <c r="R22" s="115"/>
      <c r="S22" s="115"/>
      <c r="T22" s="115">
        <v>0</v>
      </c>
      <c r="U22" s="54">
        <v>75000</v>
      </c>
      <c r="V22" s="54">
        <v>75000</v>
      </c>
      <c r="W22" s="54">
        <v>27819</v>
      </c>
      <c r="X22" s="53"/>
      <c r="Y22" s="53"/>
      <c r="Z22" s="53"/>
      <c r="AA22" s="53"/>
      <c r="AB22" s="53"/>
      <c r="AC22" s="53"/>
      <c r="AD22" s="47"/>
      <c r="AE22" s="53"/>
      <c r="AF22" s="53"/>
      <c r="AG22" s="47"/>
      <c r="AH22" s="53">
        <f t="shared" si="5"/>
        <v>177819</v>
      </c>
      <c r="AI22" s="51"/>
      <c r="AJ22" s="55">
        <f t="shared" si="2"/>
        <v>0</v>
      </c>
    </row>
    <row r="23" spans="1:36" s="36" customFormat="1" ht="15.75" x14ac:dyDescent="0.25">
      <c r="A23" s="34" t="s">
        <v>74</v>
      </c>
      <c r="B23" s="35" t="s">
        <v>76</v>
      </c>
      <c r="C23" s="52" t="s">
        <v>380</v>
      </c>
      <c r="D23" s="52" t="s">
        <v>381</v>
      </c>
      <c r="E23" s="52" t="s">
        <v>320</v>
      </c>
      <c r="F23" s="87">
        <v>44317</v>
      </c>
      <c r="G23" s="87">
        <v>44437</v>
      </c>
      <c r="H23" s="50">
        <f t="shared" si="6"/>
        <v>3.9867109634551494</v>
      </c>
      <c r="I23" s="182">
        <v>700000</v>
      </c>
      <c r="J23" s="53"/>
      <c r="K23" s="53"/>
      <c r="L23" s="53"/>
      <c r="M23" s="53"/>
      <c r="N23" s="53"/>
      <c r="O23" s="47"/>
      <c r="P23" s="115"/>
      <c r="Q23" s="47"/>
      <c r="R23" s="115"/>
      <c r="S23" s="115"/>
      <c r="T23" s="115"/>
      <c r="U23" s="187">
        <v>65000</v>
      </c>
      <c r="V23" s="54">
        <v>150000</v>
      </c>
      <c r="W23" s="54">
        <v>150000</v>
      </c>
      <c r="X23" s="54">
        <v>150000</v>
      </c>
      <c r="Y23" s="54">
        <v>125000</v>
      </c>
      <c r="Z23" s="54">
        <v>60000</v>
      </c>
      <c r="AA23" s="53"/>
      <c r="AB23" s="53"/>
      <c r="AC23" s="53"/>
      <c r="AD23" s="47"/>
      <c r="AE23" s="53"/>
      <c r="AF23" s="53"/>
      <c r="AG23" s="47"/>
      <c r="AH23" s="53">
        <f t="shared" si="5"/>
        <v>700000</v>
      </c>
      <c r="AI23" s="51"/>
      <c r="AJ23" s="55">
        <f t="shared" si="2"/>
        <v>0</v>
      </c>
    </row>
    <row r="24" spans="1:36" s="36" customFormat="1" ht="15.75" x14ac:dyDescent="0.25">
      <c r="A24" s="34" t="s">
        <v>78</v>
      </c>
      <c r="B24" s="35" t="s">
        <v>417</v>
      </c>
      <c r="C24" s="52" t="s">
        <v>380</v>
      </c>
      <c r="D24" s="52" t="s">
        <v>381</v>
      </c>
      <c r="E24" s="52" t="s">
        <v>320</v>
      </c>
      <c r="F24" s="87">
        <v>44348</v>
      </c>
      <c r="G24" s="87">
        <v>44528</v>
      </c>
      <c r="H24" s="50">
        <f t="shared" si="6"/>
        <v>5.9800664451827243</v>
      </c>
      <c r="I24" s="182">
        <v>469659</v>
      </c>
      <c r="J24" s="53"/>
      <c r="K24" s="53"/>
      <c r="L24" s="53"/>
      <c r="M24" s="53"/>
      <c r="N24" s="53"/>
      <c r="O24" s="47"/>
      <c r="P24" s="115">
        <v>32120</v>
      </c>
      <c r="Q24" s="47"/>
      <c r="R24" s="115"/>
      <c r="S24" s="115"/>
      <c r="T24" s="178"/>
      <c r="U24" s="34"/>
      <c r="V24" s="34"/>
      <c r="W24" s="54">
        <v>50000</v>
      </c>
      <c r="X24" s="54">
        <v>75000</v>
      </c>
      <c r="Y24" s="54">
        <v>80000</v>
      </c>
      <c r="Z24" s="54">
        <v>80000</v>
      </c>
      <c r="AA24" s="54">
        <v>75000</v>
      </c>
      <c r="AB24" s="54">
        <v>77539</v>
      </c>
      <c r="AC24" s="53"/>
      <c r="AD24" s="47"/>
      <c r="AE24" s="53"/>
      <c r="AF24" s="53"/>
      <c r="AG24" s="47"/>
      <c r="AH24" s="53">
        <f t="shared" ref="AH24:AH34" si="7">SUM(P24:AG24)</f>
        <v>469659</v>
      </c>
      <c r="AI24" s="51"/>
      <c r="AJ24" s="55">
        <f t="shared" si="2"/>
        <v>0</v>
      </c>
    </row>
    <row r="25" spans="1:36" s="36" customFormat="1" ht="15.75" x14ac:dyDescent="0.25">
      <c r="A25" s="34" t="s">
        <v>82</v>
      </c>
      <c r="B25" s="35" t="s">
        <v>83</v>
      </c>
      <c r="C25" s="52" t="s">
        <v>380</v>
      </c>
      <c r="D25" s="52" t="s">
        <v>381</v>
      </c>
      <c r="E25" s="52" t="s">
        <v>370</v>
      </c>
      <c r="F25" s="52">
        <v>44317</v>
      </c>
      <c r="G25" s="52">
        <v>44497</v>
      </c>
      <c r="H25" s="50">
        <f>((G25-F25)/7)/4.3</f>
        <v>5.9800664451827243</v>
      </c>
      <c r="I25" s="182">
        <v>446790</v>
      </c>
      <c r="J25" s="53"/>
      <c r="K25" s="53"/>
      <c r="L25" s="53"/>
      <c r="M25" s="53"/>
      <c r="N25" s="53"/>
      <c r="O25" s="47"/>
      <c r="P25" s="115"/>
      <c r="Q25" s="47"/>
      <c r="R25" s="115"/>
      <c r="S25" s="115"/>
      <c r="T25" s="178"/>
      <c r="U25" s="34"/>
      <c r="V25" s="34"/>
      <c r="W25" s="54">
        <v>25000</v>
      </c>
      <c r="X25" s="54">
        <v>75000</v>
      </c>
      <c r="Y25" s="54">
        <v>100000</v>
      </c>
      <c r="Z25" s="54">
        <v>100000</v>
      </c>
      <c r="AA25" s="54">
        <v>100000</v>
      </c>
      <c r="AB25" s="54">
        <v>46790</v>
      </c>
      <c r="AC25" s="53"/>
      <c r="AD25" s="47"/>
      <c r="AE25" s="53"/>
      <c r="AF25" s="53"/>
      <c r="AG25" s="47"/>
      <c r="AH25" s="53">
        <f>SUM(P25:AG25)</f>
        <v>446790</v>
      </c>
      <c r="AI25" s="51"/>
      <c r="AJ25" s="55">
        <f t="shared" si="2"/>
        <v>0</v>
      </c>
    </row>
    <row r="26" spans="1:36" s="36" customFormat="1" ht="15.75" x14ac:dyDescent="0.25">
      <c r="A26" s="34" t="s">
        <v>84</v>
      </c>
      <c r="B26" s="35" t="s">
        <v>85</v>
      </c>
      <c r="C26" s="52" t="s">
        <v>380</v>
      </c>
      <c r="D26" s="52" t="s">
        <v>381</v>
      </c>
      <c r="E26" s="52" t="s">
        <v>320</v>
      </c>
      <c r="F26" s="52">
        <v>44317</v>
      </c>
      <c r="G26" s="52">
        <v>44497</v>
      </c>
      <c r="H26" s="50">
        <f>((G26-F26)/7)/4.3</f>
        <v>5.9800664451827243</v>
      </c>
      <c r="I26" s="182">
        <v>577801</v>
      </c>
      <c r="J26" s="53"/>
      <c r="K26" s="53"/>
      <c r="L26" s="53"/>
      <c r="M26" s="53"/>
      <c r="N26" s="53"/>
      <c r="O26" s="47"/>
      <c r="P26" s="115"/>
      <c r="Q26" s="47"/>
      <c r="R26" s="115"/>
      <c r="S26" s="115"/>
      <c r="T26" s="178"/>
      <c r="U26" s="34"/>
      <c r="V26" s="34"/>
      <c r="W26" s="54">
        <v>75000</v>
      </c>
      <c r="X26" s="54">
        <v>100000</v>
      </c>
      <c r="Y26" s="54">
        <v>125000</v>
      </c>
      <c r="Z26" s="54">
        <v>125000</v>
      </c>
      <c r="AA26" s="54">
        <v>100000</v>
      </c>
      <c r="AB26" s="54">
        <v>52801</v>
      </c>
      <c r="AC26" s="53"/>
      <c r="AD26" s="47"/>
      <c r="AE26" s="53"/>
      <c r="AF26" s="53"/>
      <c r="AG26" s="47"/>
      <c r="AH26" s="53">
        <f>SUM(P26:AG26)</f>
        <v>577801</v>
      </c>
      <c r="AI26" s="51"/>
      <c r="AJ26" s="55">
        <f t="shared" si="2"/>
        <v>0</v>
      </c>
    </row>
    <row r="27" spans="1:36" s="36" customFormat="1" ht="15.75" x14ac:dyDescent="0.25">
      <c r="A27" s="34" t="s">
        <v>383</v>
      </c>
      <c r="B27" s="35" t="s">
        <v>384</v>
      </c>
      <c r="C27" s="52" t="s">
        <v>380</v>
      </c>
      <c r="D27" s="52" t="s">
        <v>381</v>
      </c>
      <c r="E27" s="52" t="s">
        <v>370</v>
      </c>
      <c r="F27" s="87">
        <v>44290</v>
      </c>
      <c r="G27" s="87">
        <v>44392</v>
      </c>
      <c r="H27" s="50">
        <f t="shared" si="6"/>
        <v>3.3887043189368771</v>
      </c>
      <c r="I27" s="182">
        <v>683158</v>
      </c>
      <c r="J27" s="53"/>
      <c r="K27" s="53"/>
      <c r="L27" s="53"/>
      <c r="M27" s="53"/>
      <c r="N27" s="53"/>
      <c r="O27" s="47"/>
      <c r="P27" s="115">
        <v>65749</v>
      </c>
      <c r="Q27" s="47"/>
      <c r="R27" s="115"/>
      <c r="S27" s="115"/>
      <c r="T27" s="115">
        <v>72518</v>
      </c>
      <c r="U27" s="54">
        <v>85000</v>
      </c>
      <c r="V27" s="54">
        <v>85000</v>
      </c>
      <c r="W27" s="54">
        <v>85000</v>
      </c>
      <c r="X27" s="54">
        <v>69891</v>
      </c>
      <c r="Y27" s="54">
        <v>85000</v>
      </c>
      <c r="Z27" s="54">
        <v>85000</v>
      </c>
      <c r="AA27" s="54">
        <v>50000</v>
      </c>
      <c r="AB27" s="54">
        <v>0</v>
      </c>
      <c r="AC27" s="53"/>
      <c r="AD27" s="47"/>
      <c r="AE27" s="53"/>
      <c r="AF27" s="53"/>
      <c r="AG27" s="47"/>
      <c r="AH27" s="53">
        <f t="shared" si="7"/>
        <v>683158</v>
      </c>
      <c r="AI27" s="51"/>
      <c r="AJ27" s="55">
        <f t="shared" si="2"/>
        <v>0</v>
      </c>
    </row>
    <row r="28" spans="1:36" s="36" customFormat="1" ht="15.75" x14ac:dyDescent="0.25">
      <c r="A28" s="34" t="s">
        <v>92</v>
      </c>
      <c r="B28" s="35" t="s">
        <v>93</v>
      </c>
      <c r="C28" s="52" t="s">
        <v>380</v>
      </c>
      <c r="D28" s="52" t="s">
        <v>381</v>
      </c>
      <c r="E28" s="52" t="s">
        <v>370</v>
      </c>
      <c r="F28" s="87">
        <v>44256</v>
      </c>
      <c r="G28" s="87">
        <v>44557</v>
      </c>
      <c r="H28" s="50">
        <f t="shared" si="6"/>
        <v>10</v>
      </c>
      <c r="I28" s="182">
        <v>1436404</v>
      </c>
      <c r="J28" s="53"/>
      <c r="K28" s="53"/>
      <c r="L28" s="53"/>
      <c r="M28" s="53"/>
      <c r="N28" s="53"/>
      <c r="O28" s="47"/>
      <c r="P28" s="115">
        <v>91138</v>
      </c>
      <c r="Q28" s="47"/>
      <c r="R28" s="115"/>
      <c r="S28" s="178"/>
      <c r="T28" s="115">
        <v>0</v>
      </c>
      <c r="U28" s="54">
        <v>150000</v>
      </c>
      <c r="V28" s="54">
        <v>150000</v>
      </c>
      <c r="W28" s="54">
        <v>150000</v>
      </c>
      <c r="X28" s="54">
        <v>150000</v>
      </c>
      <c r="Y28" s="54">
        <v>150000</v>
      </c>
      <c r="Z28" s="54">
        <v>175000</v>
      </c>
      <c r="AA28" s="54">
        <v>175000</v>
      </c>
      <c r="AB28" s="54">
        <v>245266</v>
      </c>
      <c r="AC28" s="58"/>
      <c r="AD28" s="47"/>
      <c r="AE28" s="58"/>
      <c r="AF28" s="53"/>
      <c r="AG28" s="47"/>
      <c r="AH28" s="53">
        <f t="shared" si="7"/>
        <v>1436404</v>
      </c>
      <c r="AI28" s="51"/>
      <c r="AJ28" s="55">
        <f t="shared" si="2"/>
        <v>0</v>
      </c>
    </row>
    <row r="29" spans="1:36" s="36" customFormat="1" ht="15.75" x14ac:dyDescent="0.25">
      <c r="A29" s="34" t="s">
        <v>96</v>
      </c>
      <c r="B29" s="35" t="s">
        <v>97</v>
      </c>
      <c r="C29" s="52" t="s">
        <v>380</v>
      </c>
      <c r="D29" s="52" t="s">
        <v>381</v>
      </c>
      <c r="E29" s="52" t="s">
        <v>370</v>
      </c>
      <c r="F29" s="87">
        <v>44284</v>
      </c>
      <c r="G29" s="87">
        <v>44524</v>
      </c>
      <c r="H29" s="50">
        <f t="shared" si="6"/>
        <v>7.9734219269102988</v>
      </c>
      <c r="I29" s="182">
        <v>648253</v>
      </c>
      <c r="J29" s="53"/>
      <c r="K29" s="53"/>
      <c r="L29" s="53"/>
      <c r="M29" s="53"/>
      <c r="N29" s="53"/>
      <c r="O29" s="47"/>
      <c r="P29" s="115">
        <v>124344</v>
      </c>
      <c r="Q29" s="47"/>
      <c r="R29" s="115"/>
      <c r="S29" s="178"/>
      <c r="T29" s="115">
        <v>0</v>
      </c>
      <c r="U29" s="54">
        <v>65000</v>
      </c>
      <c r="V29" s="54">
        <v>65000</v>
      </c>
      <c r="W29" s="54">
        <v>65000</v>
      </c>
      <c r="X29" s="54">
        <v>65000</v>
      </c>
      <c r="Y29" s="54">
        <v>65000</v>
      </c>
      <c r="Z29" s="54">
        <v>65000</v>
      </c>
      <c r="AA29" s="54">
        <v>60000</v>
      </c>
      <c r="AB29" s="54">
        <v>73909</v>
      </c>
      <c r="AC29" s="53"/>
      <c r="AD29" s="47"/>
      <c r="AE29" s="53"/>
      <c r="AF29" s="53"/>
      <c r="AG29" s="47"/>
      <c r="AH29" s="53">
        <f t="shared" si="7"/>
        <v>648253</v>
      </c>
      <c r="AI29" s="51"/>
      <c r="AJ29" s="55">
        <f t="shared" si="2"/>
        <v>0</v>
      </c>
    </row>
    <row r="30" spans="1:36" s="36" customFormat="1" ht="15.75" x14ac:dyDescent="0.25">
      <c r="A30" s="60" t="s">
        <v>99</v>
      </c>
      <c r="B30" s="61" t="s">
        <v>100</v>
      </c>
      <c r="C30" s="52" t="s">
        <v>380</v>
      </c>
      <c r="D30" s="52" t="s">
        <v>381</v>
      </c>
      <c r="E30" s="52" t="s">
        <v>370</v>
      </c>
      <c r="F30" s="87">
        <v>44284</v>
      </c>
      <c r="G30" s="87">
        <v>44524</v>
      </c>
      <c r="H30" s="50">
        <f t="shared" si="6"/>
        <v>7.9734219269102988</v>
      </c>
      <c r="I30" s="182">
        <v>400187</v>
      </c>
      <c r="J30" s="53"/>
      <c r="K30" s="53"/>
      <c r="L30" s="53"/>
      <c r="M30" s="53"/>
      <c r="N30" s="53"/>
      <c r="O30" s="47"/>
      <c r="P30" s="115">
        <v>14681</v>
      </c>
      <c r="Q30" s="47"/>
      <c r="R30" s="115"/>
      <c r="S30" s="178"/>
      <c r="T30" s="115">
        <v>0</v>
      </c>
      <c r="U30" s="54">
        <v>50000</v>
      </c>
      <c r="V30" s="54">
        <v>50000</v>
      </c>
      <c r="W30" s="54">
        <v>50000</v>
      </c>
      <c r="X30" s="54">
        <v>50000</v>
      </c>
      <c r="Y30" s="54">
        <v>50000</v>
      </c>
      <c r="Z30" s="54">
        <v>50000</v>
      </c>
      <c r="AA30" s="54">
        <v>50000</v>
      </c>
      <c r="AB30" s="54">
        <v>35506</v>
      </c>
      <c r="AC30" s="53"/>
      <c r="AD30" s="47"/>
      <c r="AE30" s="53"/>
      <c r="AF30" s="53"/>
      <c r="AG30" s="47"/>
      <c r="AH30" s="53">
        <f t="shared" si="7"/>
        <v>400187</v>
      </c>
      <c r="AI30" s="51"/>
      <c r="AJ30" s="55">
        <f t="shared" si="2"/>
        <v>0</v>
      </c>
    </row>
    <row r="31" spans="1:36" s="36" customFormat="1" ht="15.75" x14ac:dyDescent="0.25">
      <c r="A31" s="34" t="s">
        <v>102</v>
      </c>
      <c r="B31" s="35" t="s">
        <v>385</v>
      </c>
      <c r="C31" s="52" t="s">
        <v>380</v>
      </c>
      <c r="D31" s="52" t="s">
        <v>381</v>
      </c>
      <c r="E31" s="52" t="s">
        <v>320</v>
      </c>
      <c r="F31" s="52" t="s">
        <v>24</v>
      </c>
      <c r="G31" s="52" t="s">
        <v>24</v>
      </c>
      <c r="H31" s="52" t="s">
        <v>24</v>
      </c>
      <c r="I31" s="86">
        <v>0</v>
      </c>
      <c r="J31" s="53"/>
      <c r="K31" s="53"/>
      <c r="L31" s="53"/>
      <c r="M31" s="53"/>
      <c r="N31" s="53"/>
      <c r="O31" s="47"/>
      <c r="P31" s="115"/>
      <c r="Q31" s="47"/>
      <c r="R31" s="115"/>
      <c r="S31" s="178"/>
      <c r="T31" s="115"/>
      <c r="U31" s="58"/>
      <c r="V31" s="58"/>
      <c r="W31" s="53"/>
      <c r="X31" s="53"/>
      <c r="Y31" s="53"/>
      <c r="Z31" s="53"/>
      <c r="AA31" s="53"/>
      <c r="AB31" s="53"/>
      <c r="AC31" s="53"/>
      <c r="AD31" s="47"/>
      <c r="AE31" s="53"/>
      <c r="AF31" s="53"/>
      <c r="AG31" s="47"/>
      <c r="AH31" s="53">
        <f t="shared" si="7"/>
        <v>0</v>
      </c>
      <c r="AI31" s="51"/>
      <c r="AJ31" s="55">
        <f t="shared" si="2"/>
        <v>0</v>
      </c>
    </row>
    <row r="32" spans="1:36" s="36" customFormat="1" ht="15.75" x14ac:dyDescent="0.25">
      <c r="A32" s="34" t="s">
        <v>107</v>
      </c>
      <c r="B32" s="35" t="s">
        <v>108</v>
      </c>
      <c r="C32" s="52" t="s">
        <v>380</v>
      </c>
      <c r="D32" s="52" t="s">
        <v>381</v>
      </c>
      <c r="E32" s="52" t="s">
        <v>320</v>
      </c>
      <c r="F32" s="52">
        <v>44336</v>
      </c>
      <c r="G32" s="52">
        <v>44456</v>
      </c>
      <c r="H32" s="50">
        <f>((G32-F32)/7)/4.3</f>
        <v>3.9867109634551494</v>
      </c>
      <c r="I32" s="53">
        <v>175000</v>
      </c>
      <c r="J32" s="53"/>
      <c r="K32" s="53"/>
      <c r="L32" s="53"/>
      <c r="M32" s="53"/>
      <c r="N32" s="53"/>
      <c r="O32" s="47"/>
      <c r="P32" s="115"/>
      <c r="Q32" s="47"/>
      <c r="R32" s="115"/>
      <c r="S32" s="178"/>
      <c r="T32" s="178"/>
      <c r="U32" s="54">
        <v>25000</v>
      </c>
      <c r="V32" s="54">
        <v>25000</v>
      </c>
      <c r="W32" s="54">
        <v>50000</v>
      </c>
      <c r="X32" s="54">
        <v>50000</v>
      </c>
      <c r="Y32" s="54">
        <v>25000</v>
      </c>
      <c r="Z32" s="53"/>
      <c r="AA32" s="53"/>
      <c r="AB32" s="53"/>
      <c r="AC32" s="53"/>
      <c r="AD32" s="47"/>
      <c r="AE32" s="53"/>
      <c r="AF32" s="53"/>
      <c r="AG32" s="47"/>
      <c r="AH32" s="53">
        <f t="shared" si="7"/>
        <v>175000</v>
      </c>
      <c r="AI32" s="51"/>
      <c r="AJ32" s="55">
        <f t="shared" si="2"/>
        <v>0</v>
      </c>
    </row>
    <row r="33" spans="1:36" s="36" customFormat="1" ht="15.75" x14ac:dyDescent="0.25">
      <c r="A33" s="34" t="s">
        <v>110</v>
      </c>
      <c r="B33" s="35" t="s">
        <v>111</v>
      </c>
      <c r="C33" s="52" t="s">
        <v>380</v>
      </c>
      <c r="D33" s="52" t="s">
        <v>381</v>
      </c>
      <c r="E33" s="52" t="s">
        <v>320</v>
      </c>
      <c r="F33" s="52"/>
      <c r="G33" s="52"/>
      <c r="H33" s="50"/>
      <c r="I33" s="53">
        <v>0</v>
      </c>
      <c r="J33" s="53"/>
      <c r="K33" s="53"/>
      <c r="L33" s="53"/>
      <c r="M33" s="53"/>
      <c r="N33" s="53"/>
      <c r="O33" s="47"/>
      <c r="P33" s="115"/>
      <c r="Q33" s="47"/>
      <c r="R33" s="115"/>
      <c r="S33" s="178"/>
      <c r="T33" s="178"/>
      <c r="U33" s="58"/>
      <c r="V33" s="58"/>
      <c r="W33" s="58"/>
      <c r="X33" s="58"/>
      <c r="Y33" s="58"/>
      <c r="Z33" s="53"/>
      <c r="AA33" s="53"/>
      <c r="AB33" s="53"/>
      <c r="AC33" s="53"/>
      <c r="AD33" s="47"/>
      <c r="AE33" s="53"/>
      <c r="AF33" s="53"/>
      <c r="AG33" s="47"/>
      <c r="AH33" s="53">
        <f t="shared" si="7"/>
        <v>0</v>
      </c>
      <c r="AI33" s="51"/>
      <c r="AJ33" s="55">
        <f t="shared" si="2"/>
        <v>0</v>
      </c>
    </row>
    <row r="34" spans="1:36" s="36" customFormat="1" ht="15.75" x14ac:dyDescent="0.25">
      <c r="A34" s="93"/>
      <c r="B34" s="94"/>
      <c r="C34" s="91"/>
      <c r="D34" s="91"/>
      <c r="E34" s="91"/>
      <c r="F34" s="91"/>
      <c r="G34" s="91"/>
      <c r="H34" s="92"/>
      <c r="I34" s="59">
        <f>SUM(I20:N32)</f>
        <v>9105303</v>
      </c>
      <c r="J34" s="59"/>
      <c r="K34" s="59"/>
      <c r="L34" s="59"/>
      <c r="M34" s="59"/>
      <c r="N34" s="59"/>
      <c r="O34" s="47"/>
      <c r="P34" s="59">
        <f>SUM(P20:P33)</f>
        <v>2916094</v>
      </c>
      <c r="Q34" s="47"/>
      <c r="R34" s="59">
        <f>SUM(R20:R33)</f>
        <v>93223</v>
      </c>
      <c r="S34" s="59">
        <f>SUM(S20:S33)</f>
        <v>0</v>
      </c>
      <c r="T34" s="59">
        <f t="shared" ref="T34:AF34" si="8">SUM(T20:T33)</f>
        <v>319732</v>
      </c>
      <c r="U34" s="59">
        <f t="shared" si="8"/>
        <v>976733</v>
      </c>
      <c r="V34" s="59">
        <f t="shared" si="8"/>
        <v>600000</v>
      </c>
      <c r="W34" s="59">
        <f t="shared" si="8"/>
        <v>727819</v>
      </c>
      <c r="X34" s="59">
        <f t="shared" si="8"/>
        <v>784891</v>
      </c>
      <c r="Y34" s="59">
        <f t="shared" si="8"/>
        <v>805000</v>
      </c>
      <c r="Z34" s="59">
        <f t="shared" si="8"/>
        <v>740000</v>
      </c>
      <c r="AA34" s="59">
        <f t="shared" si="8"/>
        <v>610000</v>
      </c>
      <c r="AB34" s="59">
        <f t="shared" si="8"/>
        <v>531811</v>
      </c>
      <c r="AC34" s="59">
        <f t="shared" si="8"/>
        <v>0</v>
      </c>
      <c r="AD34" s="47"/>
      <c r="AE34" s="59">
        <f t="shared" si="8"/>
        <v>0</v>
      </c>
      <c r="AF34" s="59">
        <f t="shared" si="8"/>
        <v>0</v>
      </c>
      <c r="AG34" s="47"/>
      <c r="AH34" s="53">
        <f t="shared" si="7"/>
        <v>9105303</v>
      </c>
      <c r="AI34" s="51"/>
      <c r="AJ34" s="55">
        <f t="shared" si="2"/>
        <v>0</v>
      </c>
    </row>
    <row r="35" spans="1:36" s="36" customFormat="1" ht="15.75" x14ac:dyDescent="0.25">
      <c r="A35" s="106" t="s">
        <v>115</v>
      </c>
      <c r="B35" s="107"/>
      <c r="C35" s="101" t="s">
        <v>386</v>
      </c>
      <c r="D35" s="102"/>
      <c r="E35" s="102"/>
      <c r="F35" s="102"/>
      <c r="G35" s="102"/>
      <c r="H35" s="84"/>
      <c r="I35" s="193" t="s">
        <v>444</v>
      </c>
      <c r="J35" s="103"/>
      <c r="K35" s="103"/>
      <c r="L35" s="103"/>
      <c r="M35" s="103"/>
      <c r="N35" s="103"/>
      <c r="O35" s="47"/>
      <c r="P35" s="85"/>
      <c r="Q35" s="47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47"/>
      <c r="AE35" s="103"/>
      <c r="AF35" s="103"/>
      <c r="AG35" s="47"/>
      <c r="AH35" s="85"/>
      <c r="AI35" s="51"/>
      <c r="AJ35" s="55">
        <f t="shared" si="2"/>
        <v>0</v>
      </c>
    </row>
    <row r="36" spans="1:36" s="36" customFormat="1" ht="15.75" x14ac:dyDescent="0.25">
      <c r="A36" s="60" t="s">
        <v>304</v>
      </c>
      <c r="B36" s="61" t="s">
        <v>420</v>
      </c>
      <c r="C36" s="52" t="s">
        <v>386</v>
      </c>
      <c r="D36" s="52" t="s">
        <v>386</v>
      </c>
      <c r="E36" s="52" t="s">
        <v>370</v>
      </c>
      <c r="F36" s="52">
        <v>44256</v>
      </c>
      <c r="G36" s="52">
        <v>44347</v>
      </c>
      <c r="H36" s="50">
        <f>((G36-F36)/7)/4.3</f>
        <v>3.0232558139534884</v>
      </c>
      <c r="I36" s="182">
        <v>52095</v>
      </c>
      <c r="J36" s="53"/>
      <c r="K36" s="53"/>
      <c r="L36" s="53"/>
      <c r="M36" s="53"/>
      <c r="N36" s="53"/>
      <c r="O36" s="47"/>
      <c r="P36" s="115"/>
      <c r="Q36" s="47"/>
      <c r="R36" s="115"/>
      <c r="S36" s="115"/>
      <c r="T36" s="115">
        <v>0</v>
      </c>
      <c r="U36" s="54">
        <v>15000</v>
      </c>
      <c r="V36" s="54">
        <v>20000</v>
      </c>
      <c r="W36" s="54">
        <v>17095</v>
      </c>
      <c r="X36" s="53"/>
      <c r="Y36" s="53"/>
      <c r="Z36" s="53"/>
      <c r="AA36" s="53"/>
      <c r="AB36" s="53"/>
      <c r="AC36" s="53"/>
      <c r="AD36" s="47"/>
      <c r="AE36" s="53"/>
      <c r="AF36" s="53"/>
      <c r="AG36" s="47"/>
      <c r="AH36" s="53">
        <f>SUM(P36:AG36)</f>
        <v>52095</v>
      </c>
      <c r="AI36" s="51"/>
      <c r="AJ36" s="55">
        <f t="shared" si="2"/>
        <v>0</v>
      </c>
    </row>
    <row r="37" spans="1:36" s="36" customFormat="1" ht="15.75" x14ac:dyDescent="0.25">
      <c r="A37" s="94"/>
      <c r="B37" s="96"/>
      <c r="C37" s="91"/>
      <c r="D37" s="91"/>
      <c r="E37" s="91"/>
      <c r="F37" s="91"/>
      <c r="G37" s="91"/>
      <c r="H37" s="92"/>
      <c r="I37" s="59">
        <f>SUM(I36)</f>
        <v>52095</v>
      </c>
      <c r="J37" s="59"/>
      <c r="K37" s="59"/>
      <c r="L37" s="59"/>
      <c r="M37" s="59"/>
      <c r="N37" s="59"/>
      <c r="O37" s="47"/>
      <c r="P37" s="59">
        <f>SUM(P36)</f>
        <v>0</v>
      </c>
      <c r="Q37" s="47"/>
      <c r="R37" s="59">
        <f>SUM(R36)</f>
        <v>0</v>
      </c>
      <c r="S37" s="59">
        <f t="shared" ref="S37:AC37" si="9">SUM(S36)</f>
        <v>0</v>
      </c>
      <c r="T37" s="59">
        <f t="shared" si="9"/>
        <v>0</v>
      </c>
      <c r="U37" s="59">
        <f t="shared" si="9"/>
        <v>15000</v>
      </c>
      <c r="V37" s="59">
        <f t="shared" si="9"/>
        <v>20000</v>
      </c>
      <c r="W37" s="59">
        <f t="shared" si="9"/>
        <v>17095</v>
      </c>
      <c r="X37" s="59">
        <f t="shared" si="9"/>
        <v>0</v>
      </c>
      <c r="Y37" s="59">
        <f t="shared" si="9"/>
        <v>0</v>
      </c>
      <c r="Z37" s="59">
        <f t="shared" si="9"/>
        <v>0</v>
      </c>
      <c r="AA37" s="59">
        <f t="shared" si="9"/>
        <v>0</v>
      </c>
      <c r="AB37" s="59">
        <f t="shared" si="9"/>
        <v>0</v>
      </c>
      <c r="AC37" s="59">
        <f t="shared" si="9"/>
        <v>0</v>
      </c>
      <c r="AD37" s="47"/>
      <c r="AE37" s="59">
        <f>SUM(AE36)</f>
        <v>0</v>
      </c>
      <c r="AF37" s="59">
        <f>SUM(AF23:AF36)</f>
        <v>0</v>
      </c>
      <c r="AG37" s="47"/>
      <c r="AH37" s="53">
        <f>SUM(P37:AG37)</f>
        <v>52095</v>
      </c>
      <c r="AI37" s="51"/>
      <c r="AJ37" s="55">
        <f t="shared" si="2"/>
        <v>0</v>
      </c>
    </row>
    <row r="38" spans="1:36" s="36" customFormat="1" ht="15.75" x14ac:dyDescent="0.25">
      <c r="A38" s="106" t="s">
        <v>119</v>
      </c>
      <c r="B38" s="107"/>
      <c r="C38" s="101" t="s">
        <v>387</v>
      </c>
      <c r="D38" s="102"/>
      <c r="E38" s="102"/>
      <c r="F38" s="102"/>
      <c r="G38" s="102"/>
      <c r="H38" s="84"/>
      <c r="I38" s="193" t="s">
        <v>444</v>
      </c>
      <c r="J38" s="103"/>
      <c r="K38" s="103"/>
      <c r="L38" s="103"/>
      <c r="M38" s="103"/>
      <c r="N38" s="103"/>
      <c r="O38" s="47"/>
      <c r="P38" s="85"/>
      <c r="Q38" s="47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47"/>
      <c r="AE38" s="103"/>
      <c r="AF38" s="103"/>
      <c r="AG38" s="47"/>
      <c r="AH38" s="85"/>
      <c r="AI38" s="51"/>
      <c r="AJ38" s="55">
        <f t="shared" si="2"/>
        <v>0</v>
      </c>
    </row>
    <row r="39" spans="1:36" s="36" customFormat="1" ht="15.75" x14ac:dyDescent="0.25">
      <c r="A39" s="56" t="s">
        <v>284</v>
      </c>
      <c r="B39" s="57" t="s">
        <v>421</v>
      </c>
      <c r="C39" s="52" t="s">
        <v>387</v>
      </c>
      <c r="D39" s="52" t="s">
        <v>402</v>
      </c>
      <c r="E39" s="52" t="s">
        <v>370</v>
      </c>
      <c r="F39" s="52"/>
      <c r="G39" s="52"/>
      <c r="H39" s="50">
        <f t="shared" ref="H39:H53" si="10">((G39-F39)/7)/4.3</f>
        <v>0</v>
      </c>
      <c r="I39" s="182">
        <v>604799</v>
      </c>
      <c r="J39" s="53"/>
      <c r="K39" s="53"/>
      <c r="L39" s="53"/>
      <c r="M39" s="53"/>
      <c r="N39" s="53"/>
      <c r="O39" s="47"/>
      <c r="P39" s="115">
        <v>568347</v>
      </c>
      <c r="Q39" s="47"/>
      <c r="R39" s="115">
        <v>879</v>
      </c>
      <c r="S39" s="115">
        <v>35573</v>
      </c>
      <c r="T39" s="115">
        <v>656</v>
      </c>
      <c r="U39" s="54">
        <v>-656</v>
      </c>
      <c r="V39" s="89"/>
      <c r="W39" s="89"/>
      <c r="X39" s="89"/>
      <c r="Y39" s="89"/>
      <c r="Z39" s="89"/>
      <c r="AA39" s="58"/>
      <c r="AB39" s="58"/>
      <c r="AC39" s="58"/>
      <c r="AD39" s="47"/>
      <c r="AE39" s="53"/>
      <c r="AF39" s="53"/>
      <c r="AG39" s="47"/>
      <c r="AH39" s="53">
        <f>SUM(P39:AG39)</f>
        <v>604799</v>
      </c>
      <c r="AI39" s="51"/>
      <c r="AJ39" s="55">
        <f>I39-AH39</f>
        <v>0</v>
      </c>
    </row>
    <row r="40" spans="1:36" s="36" customFormat="1" ht="15.75" x14ac:dyDescent="0.25">
      <c r="A40" s="56" t="s">
        <v>116</v>
      </c>
      <c r="B40" s="57" t="s">
        <v>117</v>
      </c>
      <c r="C40" s="52" t="s">
        <v>387</v>
      </c>
      <c r="D40" s="52" t="s">
        <v>402</v>
      </c>
      <c r="E40" s="52" t="s">
        <v>370</v>
      </c>
      <c r="F40" s="52">
        <v>44075</v>
      </c>
      <c r="G40" s="52">
        <v>44286</v>
      </c>
      <c r="H40" s="50">
        <f t="shared" si="10"/>
        <v>7.0099667774086383</v>
      </c>
      <c r="I40" s="182">
        <v>940687</v>
      </c>
      <c r="J40" s="53"/>
      <c r="K40" s="53"/>
      <c r="L40" s="53"/>
      <c r="M40" s="53"/>
      <c r="N40" s="53"/>
      <c r="O40" s="47"/>
      <c r="P40" s="115">
        <v>720455</v>
      </c>
      <c r="Q40" s="47"/>
      <c r="R40" s="115">
        <v>114649</v>
      </c>
      <c r="S40" s="115"/>
      <c r="T40" s="115">
        <v>105583</v>
      </c>
      <c r="U40" s="89"/>
      <c r="V40" s="89"/>
      <c r="W40" s="89"/>
      <c r="X40" s="89"/>
      <c r="Y40" s="89"/>
      <c r="Z40" s="89"/>
      <c r="AA40" s="58"/>
      <c r="AB40" s="58"/>
      <c r="AC40" s="58"/>
      <c r="AD40" s="47"/>
      <c r="AE40" s="53"/>
      <c r="AF40" s="53"/>
      <c r="AG40" s="47"/>
      <c r="AH40" s="53">
        <f>SUM(P40:AG40)</f>
        <v>940687</v>
      </c>
      <c r="AI40" s="51"/>
      <c r="AJ40" s="55">
        <f t="shared" ref="AJ40:AJ53" si="11">I40-AH40</f>
        <v>0</v>
      </c>
    </row>
    <row r="41" spans="1:36" s="36" customFormat="1" ht="15.75" x14ac:dyDescent="0.25">
      <c r="A41" s="64" t="s">
        <v>121</v>
      </c>
      <c r="B41" s="65" t="s">
        <v>122</v>
      </c>
      <c r="C41" s="52" t="s">
        <v>387</v>
      </c>
      <c r="D41" s="52" t="s">
        <v>402</v>
      </c>
      <c r="E41" s="52" t="s">
        <v>370</v>
      </c>
      <c r="F41" s="52">
        <v>44136</v>
      </c>
      <c r="G41" s="52">
        <v>44286</v>
      </c>
      <c r="H41" s="50">
        <f t="shared" si="10"/>
        <v>4.9833887043189371</v>
      </c>
      <c r="I41" s="182">
        <v>223564</v>
      </c>
      <c r="J41" s="53">
        <v>819670</v>
      </c>
      <c r="K41" s="53"/>
      <c r="L41" s="53"/>
      <c r="M41" s="53"/>
      <c r="N41" s="53"/>
      <c r="O41" s="47"/>
      <c r="P41" s="115">
        <v>64622</v>
      </c>
      <c r="Q41" s="47"/>
      <c r="R41" s="115">
        <v>39562</v>
      </c>
      <c r="S41" s="115">
        <v>18328</v>
      </c>
      <c r="T41" s="115">
        <v>101052</v>
      </c>
      <c r="U41" s="53"/>
      <c r="V41" s="53"/>
      <c r="W41" s="53"/>
      <c r="X41" s="53"/>
      <c r="Y41" s="53"/>
      <c r="Z41" s="53"/>
      <c r="AA41" s="53"/>
      <c r="AB41" s="53"/>
      <c r="AC41" s="53"/>
      <c r="AD41" s="47"/>
      <c r="AE41" s="53"/>
      <c r="AF41" s="53"/>
      <c r="AG41" s="47"/>
      <c r="AH41" s="53">
        <f t="shared" ref="AH41:AH97" si="12">SUM(P41:AG41)</f>
        <v>223564</v>
      </c>
      <c r="AI41" s="51"/>
      <c r="AJ41" s="55">
        <f t="shared" si="11"/>
        <v>0</v>
      </c>
    </row>
    <row r="42" spans="1:36" s="36" customFormat="1" ht="15.75" x14ac:dyDescent="0.25">
      <c r="A42" s="64" t="s">
        <v>124</v>
      </c>
      <c r="B42" s="65" t="s">
        <v>125</v>
      </c>
      <c r="C42" s="52" t="s">
        <v>387</v>
      </c>
      <c r="D42" s="52" t="s">
        <v>402</v>
      </c>
      <c r="E42" s="52" t="s">
        <v>370</v>
      </c>
      <c r="F42" s="52">
        <v>44136</v>
      </c>
      <c r="G42" s="52">
        <v>44286</v>
      </c>
      <c r="H42" s="50">
        <f t="shared" si="10"/>
        <v>4.9833887043189371</v>
      </c>
      <c r="I42" s="182">
        <v>314022</v>
      </c>
      <c r="J42" s="53"/>
      <c r="K42" s="53"/>
      <c r="L42" s="53"/>
      <c r="M42" s="53"/>
      <c r="N42" s="53"/>
      <c r="O42" s="47"/>
      <c r="P42" s="115">
        <v>124791</v>
      </c>
      <c r="Q42" s="47"/>
      <c r="R42" s="115">
        <v>64927</v>
      </c>
      <c r="S42" s="115">
        <v>25844</v>
      </c>
      <c r="T42" s="115">
        <v>98461</v>
      </c>
      <c r="U42" s="54">
        <v>-1</v>
      </c>
      <c r="V42" s="53"/>
      <c r="W42" s="53"/>
      <c r="X42" s="53"/>
      <c r="Y42" s="53"/>
      <c r="Z42" s="53"/>
      <c r="AA42" s="53"/>
      <c r="AB42" s="53"/>
      <c r="AC42" s="53"/>
      <c r="AD42" s="47"/>
      <c r="AE42" s="53"/>
      <c r="AF42" s="53"/>
      <c r="AG42" s="47"/>
      <c r="AH42" s="53">
        <f t="shared" si="12"/>
        <v>314022</v>
      </c>
      <c r="AI42" s="51"/>
      <c r="AJ42" s="55">
        <f t="shared" si="11"/>
        <v>0</v>
      </c>
    </row>
    <row r="43" spans="1:36" s="36" customFormat="1" ht="15.75" x14ac:dyDescent="0.25">
      <c r="A43" s="64" t="s">
        <v>127</v>
      </c>
      <c r="B43" s="65" t="s">
        <v>396</v>
      </c>
      <c r="C43" s="52" t="s">
        <v>387</v>
      </c>
      <c r="D43" s="52" t="s">
        <v>402</v>
      </c>
      <c r="E43" s="52" t="s">
        <v>370</v>
      </c>
      <c r="F43" s="52">
        <v>44272</v>
      </c>
      <c r="G43" s="52">
        <v>44362</v>
      </c>
      <c r="H43" s="50">
        <f t="shared" si="10"/>
        <v>2.9900332225913622</v>
      </c>
      <c r="I43" s="182">
        <v>383545</v>
      </c>
      <c r="J43" s="53">
        <v>142789</v>
      </c>
      <c r="K43" s="53"/>
      <c r="L43" s="53"/>
      <c r="M43" s="53"/>
      <c r="N43" s="53"/>
      <c r="O43" s="47"/>
      <c r="P43" s="115"/>
      <c r="Q43" s="47"/>
      <c r="R43" s="115"/>
      <c r="S43" s="115"/>
      <c r="T43" s="115">
        <v>0</v>
      </c>
      <c r="U43" s="54">
        <v>175000</v>
      </c>
      <c r="V43" s="54">
        <v>208545</v>
      </c>
      <c r="W43" s="53"/>
      <c r="X43" s="53"/>
      <c r="Y43" s="53"/>
      <c r="Z43" s="53"/>
      <c r="AA43" s="53"/>
      <c r="AB43" s="53"/>
      <c r="AC43" s="53"/>
      <c r="AD43" s="47"/>
      <c r="AE43" s="53"/>
      <c r="AF43" s="53"/>
      <c r="AG43" s="47"/>
      <c r="AH43" s="53">
        <f t="shared" si="12"/>
        <v>383545</v>
      </c>
      <c r="AI43" s="51"/>
      <c r="AJ43" s="55">
        <f t="shared" si="11"/>
        <v>0</v>
      </c>
    </row>
    <row r="44" spans="1:36" s="36" customFormat="1" ht="15.75" x14ac:dyDescent="0.25">
      <c r="A44" s="64" t="s">
        <v>129</v>
      </c>
      <c r="B44" s="65" t="s">
        <v>130</v>
      </c>
      <c r="C44" s="52" t="s">
        <v>387</v>
      </c>
      <c r="D44" s="52" t="s">
        <v>402</v>
      </c>
      <c r="E44" s="52" t="s">
        <v>370</v>
      </c>
      <c r="F44" s="52">
        <v>44136</v>
      </c>
      <c r="G44" s="52">
        <v>44408</v>
      </c>
      <c r="H44" s="50">
        <f t="shared" si="10"/>
        <v>9.0365448504983377</v>
      </c>
      <c r="I44" s="182">
        <v>1809504</v>
      </c>
      <c r="J44" s="53">
        <v>272772</v>
      </c>
      <c r="K44" s="53"/>
      <c r="L44" s="53"/>
      <c r="M44" s="53"/>
      <c r="N44" s="53"/>
      <c r="O44" s="47"/>
      <c r="P44" s="115">
        <v>407476</v>
      </c>
      <c r="Q44" s="47"/>
      <c r="R44" s="115">
        <v>214131</v>
      </c>
      <c r="S44" s="115">
        <v>74131</v>
      </c>
      <c r="T44" s="115">
        <v>135778</v>
      </c>
      <c r="U44" s="54">
        <v>200000</v>
      </c>
      <c r="V44" s="54">
        <v>250000</v>
      </c>
      <c r="W44" s="54">
        <v>275000</v>
      </c>
      <c r="X44" s="54">
        <v>252988</v>
      </c>
      <c r="Y44" s="53"/>
      <c r="Z44" s="53"/>
      <c r="AA44" s="53"/>
      <c r="AB44" s="53"/>
      <c r="AC44" s="53"/>
      <c r="AD44" s="47"/>
      <c r="AE44" s="53"/>
      <c r="AF44" s="53"/>
      <c r="AG44" s="47"/>
      <c r="AH44" s="53">
        <f t="shared" si="12"/>
        <v>1809504</v>
      </c>
      <c r="AI44" s="51"/>
      <c r="AJ44" s="55">
        <f t="shared" si="11"/>
        <v>0</v>
      </c>
    </row>
    <row r="45" spans="1:36" s="36" customFormat="1" ht="15.75" x14ac:dyDescent="0.25">
      <c r="A45" s="64" t="s">
        <v>134</v>
      </c>
      <c r="B45" s="65" t="s">
        <v>135</v>
      </c>
      <c r="C45" s="52" t="s">
        <v>387</v>
      </c>
      <c r="D45" s="52" t="s">
        <v>403</v>
      </c>
      <c r="E45" s="52" t="s">
        <v>370</v>
      </c>
      <c r="F45" s="52">
        <v>44228</v>
      </c>
      <c r="G45" s="52">
        <v>44429</v>
      </c>
      <c r="H45" s="50">
        <f t="shared" si="10"/>
        <v>6.6777408637873759</v>
      </c>
      <c r="I45" s="182">
        <v>1006579</v>
      </c>
      <c r="J45" s="53"/>
      <c r="K45" s="53"/>
      <c r="L45" s="53"/>
      <c r="M45" s="53"/>
      <c r="N45" s="53"/>
      <c r="O45" s="47"/>
      <c r="P45" s="115">
        <v>131243</v>
      </c>
      <c r="Q45" s="47"/>
      <c r="R45" s="115"/>
      <c r="S45" s="115"/>
      <c r="T45" s="115">
        <v>0</v>
      </c>
      <c r="U45" s="54">
        <v>200000</v>
      </c>
      <c r="V45" s="54">
        <v>200000</v>
      </c>
      <c r="W45" s="54">
        <v>200000</v>
      </c>
      <c r="X45" s="54">
        <v>150362</v>
      </c>
      <c r="Y45" s="54">
        <v>124974</v>
      </c>
      <c r="Z45" s="53"/>
      <c r="AA45" s="53"/>
      <c r="AB45" s="53"/>
      <c r="AC45" s="53"/>
      <c r="AD45" s="47"/>
      <c r="AE45" s="53"/>
      <c r="AF45" s="53"/>
      <c r="AG45" s="47"/>
      <c r="AH45" s="53">
        <f t="shared" si="12"/>
        <v>1006579</v>
      </c>
      <c r="AI45" s="51"/>
      <c r="AJ45" s="55">
        <f t="shared" si="11"/>
        <v>0</v>
      </c>
    </row>
    <row r="46" spans="1:36" s="36" customFormat="1" ht="15.75" x14ac:dyDescent="0.25">
      <c r="A46" s="64" t="s">
        <v>139</v>
      </c>
      <c r="B46" s="65" t="s">
        <v>140</v>
      </c>
      <c r="C46" s="52" t="s">
        <v>387</v>
      </c>
      <c r="D46" s="87" t="s">
        <v>45</v>
      </c>
      <c r="E46" s="52" t="s">
        <v>370</v>
      </c>
      <c r="F46" s="52">
        <v>44224</v>
      </c>
      <c r="G46" s="52">
        <v>44464</v>
      </c>
      <c r="H46" s="50">
        <f t="shared" si="10"/>
        <v>7.9734219269102988</v>
      </c>
      <c r="I46" s="182">
        <v>1639962</v>
      </c>
      <c r="J46" s="53"/>
      <c r="K46" s="53"/>
      <c r="L46" s="53"/>
      <c r="M46" s="53"/>
      <c r="N46" s="53"/>
      <c r="O46" s="47"/>
      <c r="P46" s="115">
        <v>103605</v>
      </c>
      <c r="Q46" s="47"/>
      <c r="R46" s="115"/>
      <c r="S46" s="115">
        <v>71204</v>
      </c>
      <c r="T46" s="115">
        <v>158532</v>
      </c>
      <c r="U46" s="54">
        <v>200000</v>
      </c>
      <c r="V46" s="54">
        <v>250000</v>
      </c>
      <c r="W46" s="54">
        <v>250000</v>
      </c>
      <c r="X46" s="54">
        <v>241468</v>
      </c>
      <c r="Y46" s="54">
        <v>200000</v>
      </c>
      <c r="Z46" s="54">
        <v>165153</v>
      </c>
      <c r="AA46" s="53"/>
      <c r="AB46" s="53"/>
      <c r="AC46" s="53"/>
      <c r="AD46" s="47"/>
      <c r="AE46" s="53"/>
      <c r="AF46" s="53"/>
      <c r="AG46" s="47"/>
      <c r="AH46" s="53">
        <f t="shared" si="12"/>
        <v>1639962</v>
      </c>
      <c r="AI46" s="51"/>
      <c r="AJ46" s="55">
        <f t="shared" si="11"/>
        <v>0</v>
      </c>
    </row>
    <row r="47" spans="1:36" s="36" customFormat="1" ht="15.75" x14ac:dyDescent="0.25">
      <c r="A47" s="64" t="s">
        <v>143</v>
      </c>
      <c r="B47" s="65" t="s">
        <v>145</v>
      </c>
      <c r="C47" s="52" t="s">
        <v>387</v>
      </c>
      <c r="D47" s="87" t="s">
        <v>389</v>
      </c>
      <c r="E47" s="52" t="s">
        <v>320</v>
      </c>
      <c r="F47" s="52">
        <v>44461</v>
      </c>
      <c r="G47" s="52">
        <v>44701</v>
      </c>
      <c r="H47" s="50">
        <f t="shared" si="10"/>
        <v>7.9734219269102988</v>
      </c>
      <c r="I47" s="53">
        <v>600000</v>
      </c>
      <c r="J47" s="53">
        <v>1339023</v>
      </c>
      <c r="K47" s="53"/>
      <c r="L47" s="53"/>
      <c r="M47" s="53"/>
      <c r="N47" s="53"/>
      <c r="O47" s="47"/>
      <c r="P47" s="115"/>
      <c r="Q47" s="47"/>
      <c r="R47" s="115"/>
      <c r="S47" s="115"/>
      <c r="T47" s="115">
        <v>0</v>
      </c>
      <c r="U47" s="58"/>
      <c r="V47" s="58"/>
      <c r="W47" s="58"/>
      <c r="X47" s="58"/>
      <c r="Y47" s="54">
        <v>150000</v>
      </c>
      <c r="Z47" s="54">
        <v>150000</v>
      </c>
      <c r="AA47" s="54">
        <v>150000</v>
      </c>
      <c r="AB47" s="54">
        <v>150000</v>
      </c>
      <c r="AC47" s="58"/>
      <c r="AD47" s="47"/>
      <c r="AE47" s="53"/>
      <c r="AF47" s="53"/>
      <c r="AG47" s="47"/>
      <c r="AH47" s="53">
        <f t="shared" si="12"/>
        <v>600000</v>
      </c>
      <c r="AI47" s="51"/>
      <c r="AJ47" s="55">
        <f t="shared" si="11"/>
        <v>0</v>
      </c>
    </row>
    <row r="48" spans="1:36" s="36" customFormat="1" ht="15.75" x14ac:dyDescent="0.25">
      <c r="A48" s="64" t="s">
        <v>147</v>
      </c>
      <c r="B48" s="65" t="s">
        <v>423</v>
      </c>
      <c r="C48" s="52" t="s">
        <v>387</v>
      </c>
      <c r="D48" s="87" t="s">
        <v>45</v>
      </c>
      <c r="E48" s="52" t="s">
        <v>320</v>
      </c>
      <c r="F48" s="52">
        <v>44461</v>
      </c>
      <c r="G48" s="52">
        <v>44701</v>
      </c>
      <c r="H48" s="50">
        <f>((G48-F48)/7)/4.3</f>
        <v>7.9734219269102988</v>
      </c>
      <c r="I48" s="53">
        <v>750000</v>
      </c>
      <c r="J48" s="53"/>
      <c r="K48" s="53"/>
      <c r="L48" s="53"/>
      <c r="M48" s="53"/>
      <c r="N48" s="53"/>
      <c r="O48" s="47"/>
      <c r="P48" s="115"/>
      <c r="Q48" s="47"/>
      <c r="R48" s="115"/>
      <c r="S48" s="115"/>
      <c r="T48" s="115"/>
      <c r="U48" s="89"/>
      <c r="V48" s="89"/>
      <c r="W48" s="89"/>
      <c r="X48" s="89"/>
      <c r="Y48" s="54">
        <v>150000</v>
      </c>
      <c r="Z48" s="54">
        <v>150000</v>
      </c>
      <c r="AA48" s="54">
        <v>150000</v>
      </c>
      <c r="AB48" s="54">
        <v>150000</v>
      </c>
      <c r="AC48" s="54">
        <v>150000</v>
      </c>
      <c r="AD48" s="47"/>
      <c r="AE48" s="54"/>
      <c r="AF48" s="53"/>
      <c r="AG48" s="47"/>
      <c r="AH48" s="53">
        <f>SUM(P48:AG48)</f>
        <v>750000</v>
      </c>
      <c r="AI48" s="51"/>
      <c r="AJ48" s="55">
        <f t="shared" si="11"/>
        <v>0</v>
      </c>
    </row>
    <row r="49" spans="1:36" s="36" customFormat="1" ht="15.75" x14ac:dyDescent="0.25">
      <c r="A49" s="64" t="s">
        <v>150</v>
      </c>
      <c r="B49" s="65" t="s">
        <v>151</v>
      </c>
      <c r="C49" s="52" t="s">
        <v>387</v>
      </c>
      <c r="D49" s="87" t="s">
        <v>45</v>
      </c>
      <c r="E49" s="52" t="s">
        <v>320</v>
      </c>
      <c r="F49" s="52">
        <v>44461</v>
      </c>
      <c r="G49" s="52">
        <v>44701</v>
      </c>
      <c r="H49" s="50">
        <f t="shared" si="10"/>
        <v>7.9734219269102988</v>
      </c>
      <c r="I49" s="53">
        <v>1736318</v>
      </c>
      <c r="J49" s="53"/>
      <c r="K49" s="53"/>
      <c r="L49" s="53"/>
      <c r="M49" s="53"/>
      <c r="N49" s="53"/>
      <c r="O49" s="47"/>
      <c r="P49" s="115"/>
      <c r="Q49" s="47"/>
      <c r="R49" s="115"/>
      <c r="S49" s="115"/>
      <c r="T49" s="115"/>
      <c r="U49" s="53"/>
      <c r="V49" s="53"/>
      <c r="W49" s="54">
        <v>100000</v>
      </c>
      <c r="X49" s="54">
        <v>150000</v>
      </c>
      <c r="Y49" s="54">
        <v>175000</v>
      </c>
      <c r="Z49" s="54">
        <v>200000</v>
      </c>
      <c r="AA49" s="54">
        <v>200000</v>
      </c>
      <c r="AB49" s="54">
        <v>200000</v>
      </c>
      <c r="AC49" s="54">
        <v>200000</v>
      </c>
      <c r="AD49" s="47"/>
      <c r="AE49" s="54">
        <v>511318</v>
      </c>
      <c r="AF49" s="53"/>
      <c r="AG49" s="47"/>
      <c r="AH49" s="53">
        <f t="shared" si="12"/>
        <v>1736318</v>
      </c>
      <c r="AI49" s="51"/>
      <c r="AJ49" s="55">
        <f t="shared" si="11"/>
        <v>0</v>
      </c>
    </row>
    <row r="50" spans="1:36" s="36" customFormat="1" ht="15.75" x14ac:dyDescent="0.25">
      <c r="A50" s="64" t="s">
        <v>153</v>
      </c>
      <c r="B50" s="65" t="s">
        <v>424</v>
      </c>
      <c r="C50" s="52" t="s">
        <v>387</v>
      </c>
      <c r="D50" s="87" t="s">
        <v>45</v>
      </c>
      <c r="E50" s="52" t="s">
        <v>320</v>
      </c>
      <c r="F50" s="52">
        <v>44461</v>
      </c>
      <c r="G50" s="52">
        <v>44701</v>
      </c>
      <c r="H50" s="50">
        <f t="shared" si="10"/>
        <v>7.9734219269102988</v>
      </c>
      <c r="I50" s="53">
        <v>376000</v>
      </c>
      <c r="J50" s="53"/>
      <c r="K50" s="53"/>
      <c r="L50" s="53"/>
      <c r="M50" s="53"/>
      <c r="N50" s="53"/>
      <c r="O50" s="47"/>
      <c r="P50" s="115"/>
      <c r="Q50" s="47"/>
      <c r="R50" s="115"/>
      <c r="S50" s="115"/>
      <c r="T50" s="115"/>
      <c r="U50" s="89"/>
      <c r="V50" s="89"/>
      <c r="W50" s="89"/>
      <c r="X50" s="89"/>
      <c r="Y50" s="54">
        <v>50000</v>
      </c>
      <c r="Z50" s="54">
        <v>75000</v>
      </c>
      <c r="AA50" s="54">
        <v>75000</v>
      </c>
      <c r="AB50" s="54">
        <v>75000</v>
      </c>
      <c r="AC50" s="54">
        <v>75000</v>
      </c>
      <c r="AD50" s="47">
        <v>0</v>
      </c>
      <c r="AE50" s="54">
        <v>26000</v>
      </c>
      <c r="AF50" s="53"/>
      <c r="AG50" s="47"/>
      <c r="AH50" s="53">
        <f t="shared" si="12"/>
        <v>376000</v>
      </c>
      <c r="AI50" s="51"/>
      <c r="AJ50" s="55">
        <f t="shared" si="11"/>
        <v>0</v>
      </c>
    </row>
    <row r="51" spans="1:36" s="36" customFormat="1" ht="15.75" x14ac:dyDescent="0.25">
      <c r="A51" s="64" t="s">
        <v>425</v>
      </c>
      <c r="B51" s="65" t="s">
        <v>426</v>
      </c>
      <c r="C51" s="52" t="s">
        <v>387</v>
      </c>
      <c r="D51" s="87" t="s">
        <v>45</v>
      </c>
      <c r="E51" s="52" t="s">
        <v>320</v>
      </c>
      <c r="F51" s="52">
        <v>44461</v>
      </c>
      <c r="G51" s="52">
        <v>44701</v>
      </c>
      <c r="H51" s="50">
        <f t="shared" si="10"/>
        <v>7.9734219269102988</v>
      </c>
      <c r="I51" s="53">
        <v>376000</v>
      </c>
      <c r="J51" s="53"/>
      <c r="K51" s="53"/>
      <c r="L51" s="53"/>
      <c r="M51" s="53"/>
      <c r="N51" s="53"/>
      <c r="O51" s="47"/>
      <c r="P51" s="115"/>
      <c r="Q51" s="47"/>
      <c r="R51" s="115"/>
      <c r="S51" s="115"/>
      <c r="T51" s="115"/>
      <c r="U51" s="89"/>
      <c r="V51" s="89"/>
      <c r="W51" s="89"/>
      <c r="X51" s="89"/>
      <c r="Y51" s="54">
        <v>50000</v>
      </c>
      <c r="Z51" s="54">
        <v>75000</v>
      </c>
      <c r="AA51" s="54">
        <v>75000</v>
      </c>
      <c r="AB51" s="54">
        <v>75000</v>
      </c>
      <c r="AC51" s="54">
        <v>75000</v>
      </c>
      <c r="AD51" s="47"/>
      <c r="AE51" s="54">
        <v>26000</v>
      </c>
      <c r="AF51" s="53"/>
      <c r="AG51" s="47"/>
      <c r="AH51" s="53">
        <f t="shared" si="12"/>
        <v>376000</v>
      </c>
      <c r="AI51" s="51"/>
      <c r="AJ51" s="55">
        <f t="shared" si="11"/>
        <v>0</v>
      </c>
    </row>
    <row r="52" spans="1:36" s="36" customFormat="1" ht="15.75" x14ac:dyDescent="0.25">
      <c r="A52" s="64" t="s">
        <v>156</v>
      </c>
      <c r="B52" s="65" t="s">
        <v>427</v>
      </c>
      <c r="C52" s="52" t="s">
        <v>387</v>
      </c>
      <c r="D52" s="87" t="s">
        <v>45</v>
      </c>
      <c r="E52" s="52" t="s">
        <v>320</v>
      </c>
      <c r="F52" s="52">
        <v>44461</v>
      </c>
      <c r="G52" s="52">
        <v>44762</v>
      </c>
      <c r="H52" s="50">
        <f t="shared" si="10"/>
        <v>10</v>
      </c>
      <c r="I52" s="53">
        <v>1700000</v>
      </c>
      <c r="J52" s="53"/>
      <c r="K52" s="53"/>
      <c r="L52" s="53"/>
      <c r="M52" s="53"/>
      <c r="N52" s="53"/>
      <c r="O52" s="47"/>
      <c r="P52" s="115"/>
      <c r="Q52" s="47"/>
      <c r="R52" s="115"/>
      <c r="S52" s="115"/>
      <c r="T52" s="115"/>
      <c r="U52" s="89"/>
      <c r="V52" s="89"/>
      <c r="W52" s="89"/>
      <c r="X52" s="89"/>
      <c r="Y52" s="54">
        <v>75000</v>
      </c>
      <c r="Z52" s="54">
        <v>125000</v>
      </c>
      <c r="AA52" s="54">
        <v>200000</v>
      </c>
      <c r="AB52" s="54">
        <v>200000</v>
      </c>
      <c r="AC52" s="54">
        <v>200000</v>
      </c>
      <c r="AD52" s="47"/>
      <c r="AE52" s="54">
        <v>900000</v>
      </c>
      <c r="AF52" s="53"/>
      <c r="AG52" s="47"/>
      <c r="AH52" s="53">
        <f t="shared" si="12"/>
        <v>1700000</v>
      </c>
      <c r="AI52" s="51"/>
      <c r="AJ52" s="55">
        <f t="shared" si="11"/>
        <v>0</v>
      </c>
    </row>
    <row r="53" spans="1:36" s="36" customFormat="1" ht="15.75" x14ac:dyDescent="0.25">
      <c r="A53" s="64" t="s">
        <v>159</v>
      </c>
      <c r="B53" s="65" t="s">
        <v>428</v>
      </c>
      <c r="C53" s="52" t="s">
        <v>387</v>
      </c>
      <c r="D53" s="87" t="s">
        <v>45</v>
      </c>
      <c r="E53" s="52" t="s">
        <v>320</v>
      </c>
      <c r="F53" s="52">
        <v>44461</v>
      </c>
      <c r="G53" s="52">
        <v>44701</v>
      </c>
      <c r="H53" s="50">
        <f t="shared" si="10"/>
        <v>7.9734219269102988</v>
      </c>
      <c r="I53" s="53">
        <v>225000</v>
      </c>
      <c r="J53" s="53"/>
      <c r="K53" s="53"/>
      <c r="L53" s="53"/>
      <c r="M53" s="53"/>
      <c r="N53" s="53"/>
      <c r="O53" s="47"/>
      <c r="P53" s="115"/>
      <c r="Q53" s="47"/>
      <c r="R53" s="115"/>
      <c r="S53" s="115"/>
      <c r="T53" s="115"/>
      <c r="U53" s="89"/>
      <c r="V53" s="89"/>
      <c r="W53" s="89"/>
      <c r="X53" s="89"/>
      <c r="Y53" s="58"/>
      <c r="Z53" s="54">
        <v>50000</v>
      </c>
      <c r="AA53" s="54">
        <v>50000</v>
      </c>
      <c r="AB53" s="54">
        <v>50000</v>
      </c>
      <c r="AC53" s="54">
        <v>50000</v>
      </c>
      <c r="AD53" s="47"/>
      <c r="AE53" s="54">
        <v>25000</v>
      </c>
      <c r="AF53" s="53"/>
      <c r="AG53" s="47"/>
      <c r="AH53" s="53">
        <f t="shared" si="12"/>
        <v>225000</v>
      </c>
      <c r="AI53" s="51"/>
      <c r="AJ53" s="55">
        <f t="shared" si="11"/>
        <v>0</v>
      </c>
    </row>
    <row r="54" spans="1:36" s="36" customFormat="1" ht="15.75" x14ac:dyDescent="0.25">
      <c r="A54" s="97"/>
      <c r="B54" s="98"/>
      <c r="C54" s="91"/>
      <c r="D54" s="91"/>
      <c r="E54" s="91"/>
      <c r="F54" s="91"/>
      <c r="G54" s="91"/>
      <c r="H54" s="92"/>
      <c r="I54" s="59">
        <f>SUM(I39:I53)</f>
        <v>12685980</v>
      </c>
      <c r="J54" s="59"/>
      <c r="K54" s="59"/>
      <c r="L54" s="59"/>
      <c r="M54" s="59"/>
      <c r="N54" s="59"/>
      <c r="O54" s="47"/>
      <c r="P54" s="59">
        <f>SUM(P39:P53)</f>
        <v>2120539</v>
      </c>
      <c r="Q54" s="47"/>
      <c r="R54" s="59">
        <f t="shared" ref="R54:AF54" si="13">SUM(R39:R53)</f>
        <v>434148</v>
      </c>
      <c r="S54" s="59">
        <f t="shared" si="13"/>
        <v>225080</v>
      </c>
      <c r="T54" s="59">
        <f t="shared" si="13"/>
        <v>600062</v>
      </c>
      <c r="U54" s="59">
        <f t="shared" si="13"/>
        <v>774343</v>
      </c>
      <c r="V54" s="59">
        <f t="shared" si="13"/>
        <v>908545</v>
      </c>
      <c r="W54" s="59">
        <f t="shared" si="13"/>
        <v>825000</v>
      </c>
      <c r="X54" s="59">
        <f t="shared" si="13"/>
        <v>794818</v>
      </c>
      <c r="Y54" s="59">
        <f t="shared" si="13"/>
        <v>974974</v>
      </c>
      <c r="Z54" s="59">
        <f t="shared" si="13"/>
        <v>990153</v>
      </c>
      <c r="AA54" s="59">
        <f t="shared" si="13"/>
        <v>900000</v>
      </c>
      <c r="AB54" s="59">
        <f t="shared" si="13"/>
        <v>900000</v>
      </c>
      <c r="AC54" s="59">
        <f t="shared" si="13"/>
        <v>750000</v>
      </c>
      <c r="AD54" s="47"/>
      <c r="AE54" s="59">
        <f t="shared" si="13"/>
        <v>1488318</v>
      </c>
      <c r="AF54" s="59">
        <f t="shared" si="13"/>
        <v>0</v>
      </c>
      <c r="AG54" s="47"/>
      <c r="AH54" s="53">
        <f t="shared" si="12"/>
        <v>12685980</v>
      </c>
      <c r="AI54" s="51"/>
      <c r="AJ54" s="55">
        <f t="shared" si="2"/>
        <v>0</v>
      </c>
    </row>
    <row r="55" spans="1:36" s="36" customFormat="1" ht="15.75" x14ac:dyDescent="0.25">
      <c r="A55" s="106" t="s">
        <v>73</v>
      </c>
      <c r="B55" s="107"/>
      <c r="C55" s="101" t="s">
        <v>45</v>
      </c>
      <c r="D55" s="102"/>
      <c r="E55" s="102"/>
      <c r="F55" s="102"/>
      <c r="G55" s="102"/>
      <c r="H55" s="84"/>
      <c r="I55" s="193" t="s">
        <v>444</v>
      </c>
      <c r="J55" s="103"/>
      <c r="K55" s="103"/>
      <c r="L55" s="103"/>
      <c r="M55" s="103"/>
      <c r="N55" s="103"/>
      <c r="O55" s="47"/>
      <c r="P55" s="85"/>
      <c r="Q55" s="47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47"/>
      <c r="AE55" s="103"/>
      <c r="AF55" s="103"/>
      <c r="AG55" s="47"/>
      <c r="AH55" s="85"/>
      <c r="AI55" s="51"/>
      <c r="AJ55" s="55">
        <f t="shared" si="2"/>
        <v>0</v>
      </c>
    </row>
    <row r="56" spans="1:36" s="36" customFormat="1" ht="15.75" x14ac:dyDescent="0.25">
      <c r="A56" s="60" t="s">
        <v>430</v>
      </c>
      <c r="B56" s="61" t="s">
        <v>431</v>
      </c>
      <c r="C56" s="52" t="s">
        <v>45</v>
      </c>
      <c r="D56" s="52" t="s">
        <v>45</v>
      </c>
      <c r="E56" s="52" t="s">
        <v>320</v>
      </c>
      <c r="F56" s="52"/>
      <c r="G56" s="52"/>
      <c r="H56" s="50"/>
      <c r="I56" s="53">
        <v>61092</v>
      </c>
      <c r="J56" s="53"/>
      <c r="K56" s="53"/>
      <c r="L56" s="53"/>
      <c r="M56" s="53"/>
      <c r="N56" s="53"/>
      <c r="O56" s="47"/>
      <c r="P56" s="115">
        <v>61092</v>
      </c>
      <c r="Q56" s="47"/>
      <c r="R56" s="115"/>
      <c r="S56" s="115"/>
      <c r="T56" s="115"/>
      <c r="U56" s="58"/>
      <c r="V56" s="58"/>
      <c r="W56" s="58"/>
      <c r="X56" s="58"/>
      <c r="Y56" s="58"/>
      <c r="Z56" s="58"/>
      <c r="AA56" s="58"/>
      <c r="AB56" s="58"/>
      <c r="AC56" s="58"/>
      <c r="AD56" s="47"/>
      <c r="AE56" s="58"/>
      <c r="AF56" s="53"/>
      <c r="AG56" s="47"/>
      <c r="AH56" s="53">
        <f t="shared" si="12"/>
        <v>61092</v>
      </c>
      <c r="AI56" s="51"/>
      <c r="AJ56" s="55">
        <f t="shared" si="2"/>
        <v>0</v>
      </c>
    </row>
    <row r="57" spans="1:36" s="36" customFormat="1" ht="15.75" x14ac:dyDescent="0.25">
      <c r="A57" s="60" t="s">
        <v>432</v>
      </c>
      <c r="B57" s="61" t="s">
        <v>433</v>
      </c>
      <c r="C57" s="52" t="s">
        <v>45</v>
      </c>
      <c r="D57" s="52" t="s">
        <v>45</v>
      </c>
      <c r="E57" s="52" t="s">
        <v>320</v>
      </c>
      <c r="F57" s="52"/>
      <c r="G57" s="52"/>
      <c r="H57" s="50"/>
      <c r="I57" s="53">
        <v>61092</v>
      </c>
      <c r="J57" s="53"/>
      <c r="K57" s="53"/>
      <c r="L57" s="53"/>
      <c r="M57" s="53"/>
      <c r="N57" s="53"/>
      <c r="O57" s="47"/>
      <c r="P57" s="115">
        <v>61092</v>
      </c>
      <c r="Q57" s="47"/>
      <c r="R57" s="115"/>
      <c r="S57" s="115"/>
      <c r="T57" s="115"/>
      <c r="U57" s="58"/>
      <c r="V57" s="58"/>
      <c r="W57" s="58"/>
      <c r="X57" s="58"/>
      <c r="Y57" s="58"/>
      <c r="Z57" s="58"/>
      <c r="AA57" s="58"/>
      <c r="AB57" s="58"/>
      <c r="AC57" s="58"/>
      <c r="AD57" s="47"/>
      <c r="AE57" s="58"/>
      <c r="AF57" s="53"/>
      <c r="AG57" s="47"/>
      <c r="AH57" s="53">
        <f t="shared" si="12"/>
        <v>61092</v>
      </c>
      <c r="AI57" s="51"/>
      <c r="AJ57" s="55">
        <f t="shared" si="2"/>
        <v>0</v>
      </c>
    </row>
    <row r="58" spans="1:36" s="36" customFormat="1" ht="15.75" x14ac:dyDescent="0.25">
      <c r="A58" s="60" t="s">
        <v>161</v>
      </c>
      <c r="B58" s="61" t="s">
        <v>163</v>
      </c>
      <c r="C58" s="52" t="s">
        <v>45</v>
      </c>
      <c r="D58" s="52" t="s">
        <v>45</v>
      </c>
      <c r="E58" s="52" t="s">
        <v>320</v>
      </c>
      <c r="F58" s="52" t="s">
        <v>165</v>
      </c>
      <c r="G58" s="52" t="s">
        <v>165</v>
      </c>
      <c r="H58" s="50" t="s">
        <v>165</v>
      </c>
      <c r="I58" s="86" t="s">
        <v>165</v>
      </c>
      <c r="J58" s="53"/>
      <c r="K58" s="53"/>
      <c r="L58" s="53"/>
      <c r="M58" s="53"/>
      <c r="N58" s="53"/>
      <c r="O58" s="47"/>
      <c r="P58" s="115"/>
      <c r="Q58" s="47"/>
      <c r="R58" s="115"/>
      <c r="S58" s="115"/>
      <c r="T58" s="115"/>
      <c r="U58" s="58"/>
      <c r="V58" s="58"/>
      <c r="W58" s="58"/>
      <c r="X58" s="58"/>
      <c r="Y58" s="58"/>
      <c r="Z58" s="58"/>
      <c r="AA58" s="58"/>
      <c r="AB58" s="58"/>
      <c r="AC58" s="58"/>
      <c r="AD58" s="47"/>
      <c r="AE58" s="54">
        <v>2500000</v>
      </c>
      <c r="AF58" s="53"/>
      <c r="AG58" s="47"/>
      <c r="AH58" s="53">
        <f t="shared" si="12"/>
        <v>2500000</v>
      </c>
      <c r="AI58" s="51"/>
      <c r="AJ58" s="55"/>
    </row>
    <row r="59" spans="1:36" s="36" customFormat="1" ht="15.75" x14ac:dyDescent="0.25">
      <c r="A59" s="34" t="s">
        <v>166</v>
      </c>
      <c r="B59" s="35" t="s">
        <v>168</v>
      </c>
      <c r="C59" s="52" t="s">
        <v>45</v>
      </c>
      <c r="D59" s="52" t="s">
        <v>371</v>
      </c>
      <c r="E59" s="52" t="s">
        <v>320</v>
      </c>
      <c r="F59" s="87" t="e">
        <f>#REF!</f>
        <v>#REF!</v>
      </c>
      <c r="G59" s="87">
        <v>44508</v>
      </c>
      <c r="H59" s="88" t="e">
        <f>((G59-F59)/7)/4.3</f>
        <v>#REF!</v>
      </c>
      <c r="I59" s="58">
        <v>1000000</v>
      </c>
      <c r="J59" s="53"/>
      <c r="K59" s="53"/>
      <c r="L59" s="53"/>
      <c r="M59" s="53"/>
      <c r="N59" s="53"/>
      <c r="O59" s="47"/>
      <c r="P59" s="115"/>
      <c r="Q59" s="47"/>
      <c r="R59" s="115"/>
      <c r="S59" s="115"/>
      <c r="T59" s="115">
        <v>0</v>
      </c>
      <c r="U59" s="54">
        <v>100000</v>
      </c>
      <c r="V59" s="54">
        <f t="shared" ref="V59:AA59" si="14">1000000/8</f>
        <v>125000</v>
      </c>
      <c r="W59" s="54">
        <f t="shared" si="14"/>
        <v>125000</v>
      </c>
      <c r="X59" s="54">
        <f t="shared" si="14"/>
        <v>125000</v>
      </c>
      <c r="Y59" s="54">
        <f t="shared" si="14"/>
        <v>125000</v>
      </c>
      <c r="Z59" s="54">
        <f t="shared" si="14"/>
        <v>125000</v>
      </c>
      <c r="AA59" s="54">
        <f t="shared" si="14"/>
        <v>125000</v>
      </c>
      <c r="AB59" s="54">
        <v>75000</v>
      </c>
      <c r="AC59" s="54">
        <v>75000</v>
      </c>
      <c r="AD59" s="47"/>
      <c r="AE59" s="53"/>
      <c r="AF59" s="53"/>
      <c r="AG59" s="47"/>
      <c r="AH59" s="53">
        <f t="shared" ref="AH59:AH64" si="15">SUM(P59:AG59)</f>
        <v>1000000</v>
      </c>
      <c r="AI59" s="51"/>
      <c r="AJ59" s="55">
        <f t="shared" si="2"/>
        <v>0</v>
      </c>
    </row>
    <row r="60" spans="1:36" s="36" customFormat="1" ht="15.75" x14ac:dyDescent="0.25">
      <c r="A60" s="34" t="s">
        <v>170</v>
      </c>
      <c r="B60" s="35" t="s">
        <v>171</v>
      </c>
      <c r="C60" s="52" t="s">
        <v>45</v>
      </c>
      <c r="D60" s="52" t="s">
        <v>371</v>
      </c>
      <c r="E60" s="52" t="s">
        <v>320</v>
      </c>
      <c r="F60" s="52">
        <v>44319</v>
      </c>
      <c r="G60" s="52">
        <v>44559</v>
      </c>
      <c r="H60" s="50">
        <f>((G60-F60)/7)/4.3</f>
        <v>7.9734219269102988</v>
      </c>
      <c r="I60" s="182">
        <v>975000</v>
      </c>
      <c r="J60" s="53"/>
      <c r="K60" s="53"/>
      <c r="L60" s="53"/>
      <c r="M60" s="53"/>
      <c r="N60" s="53"/>
      <c r="O60" s="47"/>
      <c r="P60" s="115"/>
      <c r="Q60" s="47"/>
      <c r="R60" s="115"/>
      <c r="S60" s="115"/>
      <c r="T60" s="115">
        <v>0</v>
      </c>
      <c r="U60" s="58"/>
      <c r="V60" s="54">
        <v>100000</v>
      </c>
      <c r="W60" s="54">
        <v>125000</v>
      </c>
      <c r="X60" s="54">
        <v>150000</v>
      </c>
      <c r="Y60" s="54">
        <v>150000</v>
      </c>
      <c r="Z60" s="54">
        <v>150000</v>
      </c>
      <c r="AA60" s="54">
        <v>150000</v>
      </c>
      <c r="AB60" s="54">
        <v>150000</v>
      </c>
      <c r="AC60" s="54"/>
      <c r="AD60" s="47"/>
      <c r="AE60" s="53"/>
      <c r="AF60" s="53"/>
      <c r="AG60" s="47"/>
      <c r="AH60" s="53">
        <f t="shared" si="15"/>
        <v>975000</v>
      </c>
      <c r="AI60" s="51"/>
      <c r="AJ60" s="55">
        <f t="shared" si="2"/>
        <v>0</v>
      </c>
    </row>
    <row r="61" spans="1:36" s="36" customFormat="1" ht="15.75" x14ac:dyDescent="0.25">
      <c r="A61" s="64" t="s">
        <v>434</v>
      </c>
      <c r="B61" s="65" t="s">
        <v>435</v>
      </c>
      <c r="C61" s="52" t="s">
        <v>45</v>
      </c>
      <c r="D61" s="52" t="s">
        <v>45</v>
      </c>
      <c r="E61" s="52" t="s">
        <v>320</v>
      </c>
      <c r="F61" s="52" t="s">
        <v>319</v>
      </c>
      <c r="G61" s="52" t="s">
        <v>319</v>
      </c>
      <c r="H61" s="50"/>
      <c r="I61" s="189">
        <v>461956</v>
      </c>
      <c r="J61" s="53"/>
      <c r="K61" s="53"/>
      <c r="L61" s="53"/>
      <c r="M61" s="53"/>
      <c r="N61" s="53"/>
      <c r="O61" s="47"/>
      <c r="P61" s="115"/>
      <c r="Q61" s="47"/>
      <c r="R61" s="115">
        <v>353138</v>
      </c>
      <c r="S61" s="115">
        <v>108818</v>
      </c>
      <c r="T61" s="115"/>
      <c r="U61" s="53"/>
      <c r="V61" s="53"/>
      <c r="W61" s="53"/>
      <c r="X61" s="53"/>
      <c r="Y61" s="53"/>
      <c r="Z61" s="53"/>
      <c r="AA61" s="53"/>
      <c r="AB61" s="53"/>
      <c r="AC61" s="53"/>
      <c r="AD61" s="47"/>
      <c r="AE61" s="53"/>
      <c r="AF61" s="53"/>
      <c r="AG61" s="47"/>
      <c r="AH61" s="53">
        <f t="shared" si="15"/>
        <v>461956</v>
      </c>
      <c r="AI61" s="51"/>
      <c r="AJ61" s="55">
        <f t="shared" si="2"/>
        <v>0</v>
      </c>
    </row>
    <row r="62" spans="1:36" s="36" customFormat="1" ht="15.75" x14ac:dyDescent="0.25">
      <c r="A62" s="111" t="s">
        <v>174</v>
      </c>
      <c r="B62" s="112" t="s">
        <v>175</v>
      </c>
      <c r="C62" s="52" t="s">
        <v>45</v>
      </c>
      <c r="D62" s="52" t="s">
        <v>371</v>
      </c>
      <c r="E62" s="52" t="s">
        <v>320</v>
      </c>
      <c r="F62" s="52">
        <v>44317</v>
      </c>
      <c r="G62" s="52">
        <v>44497</v>
      </c>
      <c r="H62" s="50">
        <f>((G62-F62)/7)/4.3</f>
        <v>5.9800664451827243</v>
      </c>
      <c r="I62" s="53">
        <v>900000</v>
      </c>
      <c r="J62" s="53"/>
      <c r="K62" s="53"/>
      <c r="L62" s="53"/>
      <c r="M62" s="53"/>
      <c r="N62" s="53"/>
      <c r="O62" s="47"/>
      <c r="P62" s="115"/>
      <c r="Q62" s="47"/>
      <c r="R62" s="115"/>
      <c r="S62" s="115"/>
      <c r="T62" s="115"/>
      <c r="U62" s="53"/>
      <c r="V62" s="58"/>
      <c r="W62" s="54">
        <v>75000</v>
      </c>
      <c r="X62" s="54">
        <v>125000</v>
      </c>
      <c r="Y62" s="54">
        <v>125000</v>
      </c>
      <c r="Z62" s="54">
        <v>150000</v>
      </c>
      <c r="AA62" s="54">
        <v>150000</v>
      </c>
      <c r="AB62" s="54">
        <v>150000</v>
      </c>
      <c r="AC62" s="54">
        <v>125000</v>
      </c>
      <c r="AD62" s="47"/>
      <c r="AE62" s="58"/>
      <c r="AF62" s="53"/>
      <c r="AG62" s="47"/>
      <c r="AH62" s="53">
        <f t="shared" si="15"/>
        <v>900000</v>
      </c>
      <c r="AI62" s="51"/>
      <c r="AJ62" s="55">
        <f t="shared" si="2"/>
        <v>0</v>
      </c>
    </row>
    <row r="63" spans="1:36" s="36" customFormat="1" ht="15.75" x14ac:dyDescent="0.25">
      <c r="A63" s="113" t="s">
        <v>176</v>
      </c>
      <c r="B63" s="114" t="s">
        <v>177</v>
      </c>
      <c r="C63" s="52" t="s">
        <v>45</v>
      </c>
      <c r="D63" s="52" t="s">
        <v>371</v>
      </c>
      <c r="E63" s="52" t="s">
        <v>320</v>
      </c>
      <c r="F63" s="52">
        <v>44331</v>
      </c>
      <c r="G63" s="52">
        <v>44511</v>
      </c>
      <c r="H63" s="50">
        <f>((G63-F63)/7)/4.3</f>
        <v>5.9800664451827243</v>
      </c>
      <c r="I63" s="53">
        <v>175000</v>
      </c>
      <c r="J63" s="53"/>
      <c r="K63" s="53"/>
      <c r="L63" s="53"/>
      <c r="M63" s="53"/>
      <c r="N63" s="53"/>
      <c r="O63" s="47"/>
      <c r="P63" s="115"/>
      <c r="Q63" s="47"/>
      <c r="R63" s="115"/>
      <c r="S63" s="115"/>
      <c r="T63" s="115"/>
      <c r="U63" s="53"/>
      <c r="V63" s="54">
        <v>25000</v>
      </c>
      <c r="W63" s="54">
        <f t="shared" ref="W63:AB63" si="16">200000/8</f>
        <v>25000</v>
      </c>
      <c r="X63" s="54">
        <f t="shared" si="16"/>
        <v>25000</v>
      </c>
      <c r="Y63" s="54">
        <f t="shared" si="16"/>
        <v>25000</v>
      </c>
      <c r="Z63" s="54">
        <f t="shared" si="16"/>
        <v>25000</v>
      </c>
      <c r="AA63" s="54">
        <f t="shared" si="16"/>
        <v>25000</v>
      </c>
      <c r="AB63" s="54">
        <f t="shared" si="16"/>
        <v>25000</v>
      </c>
      <c r="AC63" s="58"/>
      <c r="AD63" s="47"/>
      <c r="AE63" s="58"/>
      <c r="AF63" s="53"/>
      <c r="AG63" s="47"/>
      <c r="AH63" s="53">
        <f t="shared" si="15"/>
        <v>175000</v>
      </c>
      <c r="AI63" s="51"/>
      <c r="AJ63" s="55">
        <f t="shared" si="2"/>
        <v>0</v>
      </c>
    </row>
    <row r="64" spans="1:36" s="36" customFormat="1" ht="15.75" x14ac:dyDescent="0.25">
      <c r="A64" s="179" t="s">
        <v>178</v>
      </c>
      <c r="B64" s="180" t="s">
        <v>179</v>
      </c>
      <c r="C64" s="52" t="s">
        <v>45</v>
      </c>
      <c r="D64" s="52" t="s">
        <v>371</v>
      </c>
      <c r="E64" s="52" t="s">
        <v>320</v>
      </c>
      <c r="F64" s="52">
        <v>44331</v>
      </c>
      <c r="G64" s="52">
        <v>44511</v>
      </c>
      <c r="H64" s="50">
        <f>((G64-F64)/7)/4.3</f>
        <v>5.9800664451827243</v>
      </c>
      <c r="I64" s="86" t="s">
        <v>165</v>
      </c>
      <c r="J64" s="53"/>
      <c r="K64" s="53"/>
      <c r="L64" s="53"/>
      <c r="M64" s="53"/>
      <c r="N64" s="53"/>
      <c r="O64" s="47"/>
      <c r="P64" s="115"/>
      <c r="Q64" s="47"/>
      <c r="R64" s="115"/>
      <c r="S64" s="115"/>
      <c r="T64" s="115"/>
      <c r="U64" s="53"/>
      <c r="V64" s="58"/>
      <c r="W64" s="58"/>
      <c r="X64" s="58"/>
      <c r="Y64" s="58"/>
      <c r="Z64" s="58"/>
      <c r="AA64" s="58"/>
      <c r="AB64" s="54"/>
      <c r="AC64" s="54"/>
      <c r="AD64" s="47"/>
      <c r="AE64" s="54"/>
      <c r="AF64" s="53"/>
      <c r="AG64" s="47"/>
      <c r="AH64" s="53">
        <f t="shared" si="15"/>
        <v>0</v>
      </c>
      <c r="AI64" s="51"/>
      <c r="AJ64" s="124" t="s">
        <v>165</v>
      </c>
    </row>
    <row r="65" spans="1:36" s="36" customFormat="1" ht="15.75" x14ac:dyDescent="0.25">
      <c r="A65" s="62" t="s">
        <v>180</v>
      </c>
      <c r="B65" s="63" t="s">
        <v>182</v>
      </c>
      <c r="C65" s="52" t="s">
        <v>45</v>
      </c>
      <c r="D65" s="52" t="s">
        <v>45</v>
      </c>
      <c r="E65" s="52" t="s">
        <v>320</v>
      </c>
      <c r="F65" s="52">
        <v>44371</v>
      </c>
      <c r="G65" s="52">
        <v>44431</v>
      </c>
      <c r="H65" s="50">
        <f t="shared" ref="H65:H74" si="17">((G65-F65)/7)/4.3</f>
        <v>1.9933554817275747</v>
      </c>
      <c r="I65" s="53">
        <v>400000</v>
      </c>
      <c r="J65" s="53"/>
      <c r="K65" s="53"/>
      <c r="L65" s="53"/>
      <c r="M65" s="53"/>
      <c r="N65" s="53"/>
      <c r="O65" s="47"/>
      <c r="P65" s="115"/>
      <c r="Q65" s="47"/>
      <c r="R65" s="115"/>
      <c r="S65" s="115"/>
      <c r="T65" s="115"/>
      <c r="U65" s="58"/>
      <c r="V65" s="54">
        <v>125000</v>
      </c>
      <c r="W65" s="54">
        <v>150000</v>
      </c>
      <c r="X65" s="54">
        <v>125000</v>
      </c>
      <c r="Y65" s="53"/>
      <c r="Z65" s="53"/>
      <c r="AA65" s="53"/>
      <c r="AB65" s="53"/>
      <c r="AC65" s="53"/>
      <c r="AD65" s="47"/>
      <c r="AE65" s="53"/>
      <c r="AF65" s="53"/>
      <c r="AG65" s="47"/>
      <c r="AH65" s="53">
        <f t="shared" si="12"/>
        <v>400000</v>
      </c>
      <c r="AI65" s="51"/>
      <c r="AJ65" s="55">
        <f t="shared" ref="AJ65:AJ99" si="18">I65-AH65</f>
        <v>0</v>
      </c>
    </row>
    <row r="66" spans="1:36" s="36" customFormat="1" ht="15.75" x14ac:dyDescent="0.25">
      <c r="A66" s="34" t="s">
        <v>325</v>
      </c>
      <c r="B66" s="35" t="s">
        <v>418</v>
      </c>
      <c r="C66" s="52" t="s">
        <v>380</v>
      </c>
      <c r="D66" s="52" t="s">
        <v>381</v>
      </c>
      <c r="E66" s="52" t="s">
        <v>320</v>
      </c>
      <c r="F66" s="52" t="s">
        <v>319</v>
      </c>
      <c r="G66" s="52" t="s">
        <v>319</v>
      </c>
      <c r="H66" s="52" t="s">
        <v>319</v>
      </c>
      <c r="I66" s="86">
        <v>15630</v>
      </c>
      <c r="J66" s="53"/>
      <c r="K66" s="53"/>
      <c r="L66" s="53"/>
      <c r="M66" s="53"/>
      <c r="N66" s="53"/>
      <c r="O66" s="47"/>
      <c r="P66" s="115"/>
      <c r="Q66" s="47"/>
      <c r="R66" s="115"/>
      <c r="S66" s="115">
        <v>15630</v>
      </c>
      <c r="T66" s="115"/>
      <c r="U66" s="58"/>
      <c r="V66" s="58"/>
      <c r="W66" s="53"/>
      <c r="X66" s="53"/>
      <c r="Y66" s="53"/>
      <c r="Z66" s="53"/>
      <c r="AA66" s="53"/>
      <c r="AB66" s="53"/>
      <c r="AC66" s="53"/>
      <c r="AD66" s="47"/>
      <c r="AE66" s="53"/>
      <c r="AF66" s="53"/>
      <c r="AG66" s="47"/>
      <c r="AH66" s="53">
        <f>SUM(P66:AG66)</f>
        <v>15630</v>
      </c>
      <c r="AI66" s="51"/>
      <c r="AJ66" s="55">
        <f>I66-AH66</f>
        <v>0</v>
      </c>
    </row>
    <row r="67" spans="1:36" s="36" customFormat="1" ht="15.75" x14ac:dyDescent="0.25">
      <c r="A67" s="34" t="s">
        <v>328</v>
      </c>
      <c r="B67" s="35" t="s">
        <v>419</v>
      </c>
      <c r="C67" s="52" t="s">
        <v>380</v>
      </c>
      <c r="D67" s="52" t="s">
        <v>381</v>
      </c>
      <c r="E67" s="52" t="s">
        <v>320</v>
      </c>
      <c r="F67" s="52" t="s">
        <v>319</v>
      </c>
      <c r="G67" s="52" t="s">
        <v>319</v>
      </c>
      <c r="H67" s="52" t="s">
        <v>319</v>
      </c>
      <c r="I67" s="86">
        <v>5720</v>
      </c>
      <c r="J67" s="53"/>
      <c r="K67" s="53"/>
      <c r="L67" s="53"/>
      <c r="M67" s="53"/>
      <c r="N67" s="53"/>
      <c r="O67" s="47"/>
      <c r="P67" s="115"/>
      <c r="Q67" s="47"/>
      <c r="R67" s="115"/>
      <c r="S67" s="115">
        <v>5720</v>
      </c>
      <c r="T67" s="115"/>
      <c r="U67" s="58"/>
      <c r="V67" s="58"/>
      <c r="W67" s="53"/>
      <c r="X67" s="53"/>
      <c r="Y67" s="53"/>
      <c r="Z67" s="53"/>
      <c r="AA67" s="53"/>
      <c r="AB67" s="53"/>
      <c r="AC67" s="53"/>
      <c r="AD67" s="47"/>
      <c r="AE67" s="53"/>
      <c r="AF67" s="53"/>
      <c r="AG67" s="47"/>
      <c r="AH67" s="53">
        <f>SUM(P67:AG67)</f>
        <v>5720</v>
      </c>
      <c r="AI67" s="51"/>
      <c r="AJ67" s="55">
        <f>I67-AH67</f>
        <v>0</v>
      </c>
    </row>
    <row r="68" spans="1:36" s="36" customFormat="1" ht="15.75" x14ac:dyDescent="0.25">
      <c r="A68" s="34" t="s">
        <v>185</v>
      </c>
      <c r="B68" s="35" t="s">
        <v>186</v>
      </c>
      <c r="C68" s="52" t="s">
        <v>45</v>
      </c>
      <c r="D68" s="52" t="s">
        <v>45</v>
      </c>
      <c r="E68" s="52" t="s">
        <v>320</v>
      </c>
      <c r="F68" s="52">
        <v>44372</v>
      </c>
      <c r="G68" s="52">
        <v>44673</v>
      </c>
      <c r="H68" s="50">
        <f t="shared" si="17"/>
        <v>10</v>
      </c>
      <c r="I68" s="53">
        <v>1750000</v>
      </c>
      <c r="J68" s="53"/>
      <c r="K68" s="53"/>
      <c r="L68" s="53"/>
      <c r="M68" s="53"/>
      <c r="N68" s="53"/>
      <c r="O68" s="47"/>
      <c r="P68" s="115"/>
      <c r="Q68" s="47"/>
      <c r="R68" s="115"/>
      <c r="S68" s="115"/>
      <c r="T68" s="115"/>
      <c r="U68" s="53"/>
      <c r="V68" s="54">
        <v>100000</v>
      </c>
      <c r="W68" s="54">
        <v>150000</v>
      </c>
      <c r="X68" s="54">
        <v>150000</v>
      </c>
      <c r="Y68" s="54">
        <v>150000</v>
      </c>
      <c r="Z68" s="54">
        <v>150000</v>
      </c>
      <c r="AA68" s="54">
        <v>200000</v>
      </c>
      <c r="AB68" s="54">
        <v>200000</v>
      </c>
      <c r="AC68" s="54">
        <v>200000</v>
      </c>
      <c r="AD68" s="47"/>
      <c r="AE68" s="54">
        <v>450000</v>
      </c>
      <c r="AF68" s="53"/>
      <c r="AG68" s="47"/>
      <c r="AH68" s="53">
        <f t="shared" si="12"/>
        <v>1750000</v>
      </c>
      <c r="AI68" s="51"/>
      <c r="AJ68" s="55">
        <f t="shared" si="18"/>
        <v>0</v>
      </c>
    </row>
    <row r="69" spans="1:36" s="36" customFormat="1" ht="15.75" x14ac:dyDescent="0.25">
      <c r="A69" s="34" t="s">
        <v>187</v>
      </c>
      <c r="B69" s="35" t="s">
        <v>188</v>
      </c>
      <c r="C69" s="52" t="s">
        <v>45</v>
      </c>
      <c r="D69" s="52" t="s">
        <v>45</v>
      </c>
      <c r="E69" s="52" t="s">
        <v>320</v>
      </c>
      <c r="F69" s="52">
        <v>44409</v>
      </c>
      <c r="G69" s="52">
        <v>44649</v>
      </c>
      <c r="H69" s="50">
        <f t="shared" si="17"/>
        <v>7.9734219269102988</v>
      </c>
      <c r="I69" s="53">
        <v>1500000</v>
      </c>
      <c r="J69" s="53"/>
      <c r="K69" s="53"/>
      <c r="L69" s="53"/>
      <c r="M69" s="53"/>
      <c r="N69" s="53"/>
      <c r="O69" s="47"/>
      <c r="P69" s="115"/>
      <c r="Q69" s="47"/>
      <c r="R69" s="115"/>
      <c r="S69" s="115"/>
      <c r="T69" s="115"/>
      <c r="U69" s="53"/>
      <c r="V69" s="53"/>
      <c r="W69" s="58"/>
      <c r="X69" s="58"/>
      <c r="Y69" s="54">
        <v>125000</v>
      </c>
      <c r="Z69" s="54">
        <v>175000</v>
      </c>
      <c r="AA69" s="54">
        <v>200000</v>
      </c>
      <c r="AB69" s="54">
        <v>200000</v>
      </c>
      <c r="AC69" s="54">
        <v>200000</v>
      </c>
      <c r="AD69" s="47"/>
      <c r="AE69" s="54">
        <v>600000</v>
      </c>
      <c r="AF69" s="53"/>
      <c r="AG69" s="47"/>
      <c r="AH69" s="53">
        <f t="shared" si="12"/>
        <v>1500000</v>
      </c>
      <c r="AI69" s="51"/>
      <c r="AJ69" s="55">
        <f t="shared" si="18"/>
        <v>0</v>
      </c>
    </row>
    <row r="70" spans="1:36" s="36" customFormat="1" ht="15.75" x14ac:dyDescent="0.25">
      <c r="A70" s="34" t="s">
        <v>191</v>
      </c>
      <c r="B70" s="35" t="s">
        <v>192</v>
      </c>
      <c r="C70" s="52" t="s">
        <v>45</v>
      </c>
      <c r="D70" s="52" t="s">
        <v>45</v>
      </c>
      <c r="E70" s="52" t="s">
        <v>320</v>
      </c>
      <c r="F70" s="52">
        <v>44470</v>
      </c>
      <c r="G70" s="52">
        <v>44831</v>
      </c>
      <c r="H70" s="50">
        <f t="shared" si="17"/>
        <v>11.993355481727574</v>
      </c>
      <c r="I70" s="53">
        <v>4000000</v>
      </c>
      <c r="J70" s="53"/>
      <c r="K70" s="53"/>
      <c r="L70" s="53"/>
      <c r="M70" s="53"/>
      <c r="N70" s="53"/>
      <c r="O70" s="47"/>
      <c r="P70" s="115"/>
      <c r="Q70" s="47"/>
      <c r="R70" s="115"/>
      <c r="S70" s="115"/>
      <c r="T70" s="115"/>
      <c r="U70" s="53"/>
      <c r="V70" s="53"/>
      <c r="W70" s="58"/>
      <c r="X70" s="58"/>
      <c r="Y70" s="58"/>
      <c r="Z70" s="58"/>
      <c r="AA70" s="54">
        <v>800000</v>
      </c>
      <c r="AB70" s="54">
        <v>800000</v>
      </c>
      <c r="AC70" s="54">
        <v>800000</v>
      </c>
      <c r="AD70" s="47"/>
      <c r="AE70" s="54">
        <v>1600000</v>
      </c>
      <c r="AF70" s="53"/>
      <c r="AG70" s="47"/>
      <c r="AH70" s="53">
        <f t="shared" si="12"/>
        <v>4000000</v>
      </c>
      <c r="AI70" s="51"/>
      <c r="AJ70" s="55">
        <f t="shared" si="18"/>
        <v>0</v>
      </c>
    </row>
    <row r="71" spans="1:36" s="36" customFormat="1" ht="15.75" x14ac:dyDescent="0.25">
      <c r="A71" s="34" t="s">
        <v>194</v>
      </c>
      <c r="B71" s="35" t="s">
        <v>397</v>
      </c>
      <c r="C71" s="52" t="s">
        <v>45</v>
      </c>
      <c r="D71" s="52" t="s">
        <v>45</v>
      </c>
      <c r="E71" s="52" t="s">
        <v>320</v>
      </c>
      <c r="F71" s="52">
        <v>44403</v>
      </c>
      <c r="G71" s="52">
        <v>44704</v>
      </c>
      <c r="H71" s="50">
        <f t="shared" si="17"/>
        <v>10</v>
      </c>
      <c r="I71" s="53">
        <v>3000000</v>
      </c>
      <c r="J71" s="53"/>
      <c r="K71" s="53"/>
      <c r="L71" s="53"/>
      <c r="M71" s="53"/>
      <c r="N71" s="53"/>
      <c r="O71" s="47"/>
      <c r="P71" s="115"/>
      <c r="Q71" s="47"/>
      <c r="R71" s="115"/>
      <c r="S71" s="115"/>
      <c r="T71" s="115"/>
      <c r="U71" s="58"/>
      <c r="V71" s="58"/>
      <c r="W71" s="58"/>
      <c r="X71" s="53"/>
      <c r="Y71" s="53"/>
      <c r="Z71" s="53"/>
      <c r="AA71" s="53"/>
      <c r="AB71" s="53"/>
      <c r="AC71" s="53"/>
      <c r="AD71" s="47"/>
      <c r="AE71" s="54">
        <v>3000000</v>
      </c>
      <c r="AF71" s="53"/>
      <c r="AG71" s="47"/>
      <c r="AH71" s="53">
        <f t="shared" si="12"/>
        <v>3000000</v>
      </c>
      <c r="AI71" s="51"/>
      <c r="AJ71" s="55">
        <f t="shared" si="18"/>
        <v>0</v>
      </c>
    </row>
    <row r="72" spans="1:36" s="36" customFormat="1" ht="15.75" x14ac:dyDescent="0.25">
      <c r="A72" s="185" t="s">
        <v>197</v>
      </c>
      <c r="B72" s="186" t="s">
        <v>198</v>
      </c>
      <c r="C72" s="52" t="s">
        <v>45</v>
      </c>
      <c r="D72" s="52" t="s">
        <v>45</v>
      </c>
      <c r="E72" s="52" t="s">
        <v>320</v>
      </c>
      <c r="F72" s="52"/>
      <c r="G72" s="52"/>
      <c r="H72" s="50"/>
      <c r="I72" s="182">
        <v>500577</v>
      </c>
      <c r="J72" s="53"/>
      <c r="K72" s="53"/>
      <c r="L72" s="53"/>
      <c r="M72" s="53"/>
      <c r="N72" s="53"/>
      <c r="O72" s="47"/>
      <c r="P72" s="115"/>
      <c r="Q72" s="47"/>
      <c r="R72" s="115"/>
      <c r="S72" s="115">
        <v>17615</v>
      </c>
      <c r="T72" s="115">
        <v>71648</v>
      </c>
      <c r="U72" s="58"/>
      <c r="V72" s="58"/>
      <c r="W72" s="58"/>
      <c r="X72" s="53"/>
      <c r="Y72" s="53"/>
      <c r="Z72" s="53"/>
      <c r="AA72" s="53"/>
      <c r="AB72" s="53"/>
      <c r="AC72" s="53"/>
      <c r="AD72" s="47"/>
      <c r="AE72" s="54">
        <v>411314</v>
      </c>
      <c r="AF72" s="53"/>
      <c r="AG72" s="47"/>
      <c r="AH72" s="53">
        <f t="shared" si="12"/>
        <v>500577</v>
      </c>
      <c r="AI72" s="51"/>
      <c r="AJ72" s="55">
        <f t="shared" si="18"/>
        <v>0</v>
      </c>
    </row>
    <row r="73" spans="1:36" s="36" customFormat="1" ht="15.75" x14ac:dyDescent="0.25">
      <c r="A73" s="34" t="s">
        <v>199</v>
      </c>
      <c r="B73" s="35" t="s">
        <v>436</v>
      </c>
      <c r="C73" s="52" t="s">
        <v>45</v>
      </c>
      <c r="D73" s="52" t="s">
        <v>45</v>
      </c>
      <c r="E73" s="52" t="s">
        <v>320</v>
      </c>
      <c r="F73" s="52">
        <f>'Sheet 2'!T23</f>
        <v>44417</v>
      </c>
      <c r="G73" s="52">
        <f>'Sheet 2'!U23</f>
        <v>44657.8</v>
      </c>
      <c r="H73" s="50">
        <f t="shared" si="17"/>
        <v>8.0000000000000977</v>
      </c>
      <c r="I73" s="53">
        <v>150000</v>
      </c>
      <c r="J73" s="53"/>
      <c r="K73" s="53"/>
      <c r="L73" s="53"/>
      <c r="M73" s="53"/>
      <c r="N73" s="53"/>
      <c r="O73" s="47"/>
      <c r="P73" s="115"/>
      <c r="Q73" s="47"/>
      <c r="R73" s="115"/>
      <c r="S73" s="115"/>
      <c r="T73" s="115"/>
      <c r="U73" s="58"/>
      <c r="V73" s="58"/>
      <c r="W73" s="58"/>
      <c r="X73" s="53"/>
      <c r="Y73" s="53"/>
      <c r="Z73" s="53"/>
      <c r="AA73" s="53"/>
      <c r="AB73" s="53"/>
      <c r="AC73" s="53"/>
      <c r="AD73" s="47"/>
      <c r="AE73" s="54">
        <v>150000</v>
      </c>
      <c r="AF73" s="53"/>
      <c r="AG73" s="47"/>
      <c r="AH73" s="53">
        <f t="shared" si="12"/>
        <v>150000</v>
      </c>
      <c r="AI73" s="51"/>
      <c r="AJ73" s="55">
        <f t="shared" si="18"/>
        <v>0</v>
      </c>
    </row>
    <row r="74" spans="1:36" s="36" customFormat="1" ht="15.75" x14ac:dyDescent="0.25">
      <c r="A74" s="34" t="s">
        <v>201</v>
      </c>
      <c r="B74" s="35" t="s">
        <v>437</v>
      </c>
      <c r="C74" s="52" t="s">
        <v>45</v>
      </c>
      <c r="D74" s="52" t="s">
        <v>45</v>
      </c>
      <c r="E74" s="52" t="s">
        <v>370</v>
      </c>
      <c r="F74" s="52"/>
      <c r="G74" s="52"/>
      <c r="H74" s="50">
        <f t="shared" si="17"/>
        <v>0</v>
      </c>
      <c r="I74" s="53">
        <v>100000</v>
      </c>
      <c r="J74" s="53"/>
      <c r="K74" s="53"/>
      <c r="L74" s="53"/>
      <c r="M74" s="53"/>
      <c r="N74" s="53"/>
      <c r="O74" s="47"/>
      <c r="P74" s="115"/>
      <c r="Q74" s="47"/>
      <c r="R74" s="115"/>
      <c r="S74" s="115"/>
      <c r="T74" s="115"/>
      <c r="U74" s="58"/>
      <c r="V74" s="54">
        <v>50000</v>
      </c>
      <c r="W74" s="54">
        <v>50000</v>
      </c>
      <c r="X74" s="53"/>
      <c r="Y74" s="53"/>
      <c r="Z74" s="53"/>
      <c r="AA74" s="53"/>
      <c r="AB74" s="53"/>
      <c r="AC74" s="53"/>
      <c r="AD74" s="47"/>
      <c r="AE74" s="54"/>
      <c r="AF74" s="53"/>
      <c r="AG74" s="47"/>
      <c r="AH74" s="53">
        <f t="shared" si="12"/>
        <v>100000</v>
      </c>
      <c r="AI74" s="51"/>
      <c r="AJ74" s="55">
        <f t="shared" si="18"/>
        <v>0</v>
      </c>
    </row>
    <row r="75" spans="1:36" s="36" customFormat="1" ht="15.75" x14ac:dyDescent="0.25">
      <c r="A75" s="34" t="s">
        <v>203</v>
      </c>
      <c r="B75" s="35" t="s">
        <v>204</v>
      </c>
      <c r="C75" s="52" t="s">
        <v>45</v>
      </c>
      <c r="D75" s="52" t="s">
        <v>45</v>
      </c>
      <c r="E75" s="52" t="s">
        <v>320</v>
      </c>
      <c r="F75" s="52"/>
      <c r="G75" s="52"/>
      <c r="H75" s="50"/>
      <c r="I75" s="53">
        <v>10000000</v>
      </c>
      <c r="J75" s="53"/>
      <c r="K75" s="53"/>
      <c r="L75" s="53"/>
      <c r="M75" s="53"/>
      <c r="N75" s="53"/>
      <c r="O75" s="47"/>
      <c r="P75" s="115"/>
      <c r="Q75" s="47"/>
      <c r="R75" s="115"/>
      <c r="S75" s="115"/>
      <c r="T75" s="115"/>
      <c r="U75" s="58"/>
      <c r="V75" s="58"/>
      <c r="W75" s="58"/>
      <c r="X75" s="54">
        <v>405000</v>
      </c>
      <c r="Y75" s="54">
        <v>780000</v>
      </c>
      <c r="Z75" s="54">
        <v>1100000</v>
      </c>
      <c r="AA75" s="54">
        <v>1300000</v>
      </c>
      <c r="AB75" s="54">
        <v>1400000</v>
      </c>
      <c r="AC75" s="54">
        <v>1400000</v>
      </c>
      <c r="AD75" s="47"/>
      <c r="AE75" s="54">
        <v>3615000</v>
      </c>
      <c r="AF75" s="53"/>
      <c r="AG75" s="47"/>
      <c r="AH75" s="53">
        <f t="shared" si="12"/>
        <v>10000000</v>
      </c>
      <c r="AI75" s="51"/>
      <c r="AJ75" s="55">
        <f t="shared" si="18"/>
        <v>0</v>
      </c>
    </row>
    <row r="76" spans="1:36" s="36" customFormat="1" ht="15.75" x14ac:dyDescent="0.25">
      <c r="A76" s="34" t="s">
        <v>206</v>
      </c>
      <c r="B76" s="35" t="s">
        <v>207</v>
      </c>
      <c r="C76" s="52" t="s">
        <v>45</v>
      </c>
      <c r="D76" s="52" t="s">
        <v>45</v>
      </c>
      <c r="E76" s="52" t="s">
        <v>320</v>
      </c>
      <c r="F76" s="52"/>
      <c r="G76" s="52"/>
      <c r="H76" s="50"/>
      <c r="I76" s="53">
        <v>5000000</v>
      </c>
      <c r="J76" s="53"/>
      <c r="K76" s="53"/>
      <c r="L76" s="53"/>
      <c r="M76" s="53"/>
      <c r="N76" s="53"/>
      <c r="O76" s="47"/>
      <c r="P76" s="115"/>
      <c r="Q76" s="47"/>
      <c r="R76" s="115"/>
      <c r="S76" s="115"/>
      <c r="T76" s="115"/>
      <c r="U76" s="58"/>
      <c r="V76" s="58"/>
      <c r="W76" s="58"/>
      <c r="X76" s="53"/>
      <c r="Y76" s="53"/>
      <c r="Z76" s="53"/>
      <c r="AA76" s="53"/>
      <c r="AB76" s="53"/>
      <c r="AC76" s="53"/>
      <c r="AD76" s="47"/>
      <c r="AE76" s="54">
        <v>5000000</v>
      </c>
      <c r="AF76" s="53"/>
      <c r="AG76" s="47"/>
      <c r="AH76" s="53">
        <f t="shared" si="12"/>
        <v>5000000</v>
      </c>
      <c r="AI76" s="51"/>
      <c r="AJ76" s="55">
        <f t="shared" si="18"/>
        <v>0</v>
      </c>
    </row>
    <row r="77" spans="1:36" s="36" customFormat="1" ht="15.75" x14ac:dyDescent="0.25">
      <c r="A77" s="34" t="s">
        <v>208</v>
      </c>
      <c r="B77" s="35" t="s">
        <v>209</v>
      </c>
      <c r="C77" s="52" t="s">
        <v>45</v>
      </c>
      <c r="D77" s="52" t="s">
        <v>45</v>
      </c>
      <c r="E77" s="52" t="s">
        <v>320</v>
      </c>
      <c r="F77" s="52"/>
      <c r="G77" s="52"/>
      <c r="H77" s="50"/>
      <c r="I77" s="53">
        <v>1750000</v>
      </c>
      <c r="J77" s="53"/>
      <c r="K77" s="53"/>
      <c r="L77" s="53"/>
      <c r="M77" s="53"/>
      <c r="N77" s="53"/>
      <c r="O77" s="47"/>
      <c r="P77" s="115"/>
      <c r="Q77" s="47"/>
      <c r="R77" s="115"/>
      <c r="S77" s="115"/>
      <c r="T77" s="115"/>
      <c r="U77" s="58"/>
      <c r="V77" s="58"/>
      <c r="W77" s="58"/>
      <c r="X77" s="53"/>
      <c r="Y77" s="53"/>
      <c r="Z77" s="53"/>
      <c r="AA77" s="53"/>
      <c r="AB77" s="53"/>
      <c r="AC77" s="53"/>
      <c r="AD77" s="47"/>
      <c r="AE77" s="54">
        <v>1750000</v>
      </c>
      <c r="AF77" s="53"/>
      <c r="AG77" s="47"/>
      <c r="AH77" s="53">
        <f t="shared" si="12"/>
        <v>1750000</v>
      </c>
      <c r="AI77" s="51"/>
      <c r="AJ77" s="55">
        <f t="shared" si="18"/>
        <v>0</v>
      </c>
    </row>
    <row r="78" spans="1:36" s="36" customFormat="1" ht="15.75" x14ac:dyDescent="0.25">
      <c r="A78" s="34" t="s">
        <v>210</v>
      </c>
      <c r="B78" s="35" t="s">
        <v>211</v>
      </c>
      <c r="C78" s="52" t="s">
        <v>45</v>
      </c>
      <c r="D78" s="52" t="s">
        <v>45</v>
      </c>
      <c r="E78" s="52" t="s">
        <v>320</v>
      </c>
      <c r="F78" s="52" t="s">
        <v>165</v>
      </c>
      <c r="G78" s="52" t="s">
        <v>165</v>
      </c>
      <c r="H78" s="52" t="s">
        <v>165</v>
      </c>
      <c r="I78" s="52" t="s">
        <v>165</v>
      </c>
      <c r="J78" s="53"/>
      <c r="K78" s="53"/>
      <c r="L78" s="53"/>
      <c r="M78" s="53"/>
      <c r="N78" s="53"/>
      <c r="O78" s="47"/>
      <c r="P78" s="115"/>
      <c r="Q78" s="47"/>
      <c r="R78" s="115"/>
      <c r="S78" s="115"/>
      <c r="T78" s="115"/>
      <c r="U78" s="58"/>
      <c r="V78" s="58"/>
      <c r="W78" s="58"/>
      <c r="X78" s="53"/>
      <c r="Y78" s="53"/>
      <c r="Z78" s="53"/>
      <c r="AA78" s="53"/>
      <c r="AB78" s="53"/>
      <c r="AC78" s="53"/>
      <c r="AD78" s="47"/>
      <c r="AE78" s="53"/>
      <c r="AF78" s="53"/>
      <c r="AG78" s="47"/>
      <c r="AH78" s="53">
        <f t="shared" si="12"/>
        <v>0</v>
      </c>
      <c r="AI78" s="51"/>
      <c r="AJ78" s="124" t="s">
        <v>165</v>
      </c>
    </row>
    <row r="79" spans="1:36" s="36" customFormat="1" ht="15.75" x14ac:dyDescent="0.25">
      <c r="A79" s="34" t="s">
        <v>210</v>
      </c>
      <c r="B79" s="35" t="s">
        <v>438</v>
      </c>
      <c r="C79" s="52" t="s">
        <v>45</v>
      </c>
      <c r="D79" s="52" t="s">
        <v>45</v>
      </c>
      <c r="E79" s="52" t="s">
        <v>320</v>
      </c>
      <c r="F79" s="52" t="s">
        <v>165</v>
      </c>
      <c r="G79" s="52" t="s">
        <v>165</v>
      </c>
      <c r="H79" s="52" t="s">
        <v>165</v>
      </c>
      <c r="I79" s="52" t="s">
        <v>165</v>
      </c>
      <c r="J79" s="53"/>
      <c r="K79" s="53"/>
      <c r="L79" s="53"/>
      <c r="M79" s="53"/>
      <c r="N79" s="53"/>
      <c r="O79" s="47"/>
      <c r="P79" s="115"/>
      <c r="Q79" s="47"/>
      <c r="R79" s="115"/>
      <c r="S79" s="115"/>
      <c r="T79" s="115"/>
      <c r="U79" s="58"/>
      <c r="V79" s="58"/>
      <c r="W79" s="58"/>
      <c r="X79" s="53"/>
      <c r="Y79" s="53"/>
      <c r="Z79" s="53"/>
      <c r="AA79" s="53"/>
      <c r="AB79" s="53"/>
      <c r="AC79" s="53"/>
      <c r="AD79" s="47"/>
      <c r="AE79" s="53"/>
      <c r="AF79" s="53"/>
      <c r="AG79" s="47"/>
      <c r="AH79" s="53">
        <f t="shared" si="12"/>
        <v>0</v>
      </c>
      <c r="AI79" s="51"/>
      <c r="AJ79" s="124" t="s">
        <v>165</v>
      </c>
    </row>
    <row r="80" spans="1:36" s="36" customFormat="1" ht="15.75" x14ac:dyDescent="0.25">
      <c r="A80" s="34" t="s">
        <v>210</v>
      </c>
      <c r="B80" s="35" t="s">
        <v>439</v>
      </c>
      <c r="C80" s="52" t="s">
        <v>45</v>
      </c>
      <c r="D80" s="52" t="s">
        <v>45</v>
      </c>
      <c r="E80" s="52" t="s">
        <v>320</v>
      </c>
      <c r="F80" s="52" t="s">
        <v>319</v>
      </c>
      <c r="G80" s="52" t="s">
        <v>319</v>
      </c>
      <c r="H80" s="52" t="s">
        <v>319</v>
      </c>
      <c r="I80" s="52" t="s">
        <v>319</v>
      </c>
      <c r="J80" s="53"/>
      <c r="K80" s="53"/>
      <c r="L80" s="53"/>
      <c r="M80" s="53"/>
      <c r="N80" s="53"/>
      <c r="O80" s="47"/>
      <c r="P80" s="115"/>
      <c r="Q80" s="47"/>
      <c r="R80" s="115"/>
      <c r="S80" s="115"/>
      <c r="T80" s="115"/>
      <c r="U80" s="58"/>
      <c r="V80" s="58"/>
      <c r="W80" s="58"/>
      <c r="X80" s="53"/>
      <c r="Y80" s="53"/>
      <c r="Z80" s="53"/>
      <c r="AA80" s="53"/>
      <c r="AB80" s="53"/>
      <c r="AC80" s="53"/>
      <c r="AD80" s="47"/>
      <c r="AE80" s="53"/>
      <c r="AF80" s="53"/>
      <c r="AG80" s="47"/>
      <c r="AH80" s="53">
        <f t="shared" si="12"/>
        <v>0</v>
      </c>
      <c r="AI80" s="51"/>
      <c r="AJ80" s="124" t="s">
        <v>319</v>
      </c>
    </row>
    <row r="81" spans="1:36" s="36" customFormat="1" ht="15.75" x14ac:dyDescent="0.25">
      <c r="A81" s="34" t="s">
        <v>210</v>
      </c>
      <c r="B81" s="35" t="s">
        <v>440</v>
      </c>
      <c r="C81" s="52" t="s">
        <v>45</v>
      </c>
      <c r="D81" s="52" t="s">
        <v>45</v>
      </c>
      <c r="E81" s="52" t="s">
        <v>320</v>
      </c>
      <c r="F81" s="52" t="s">
        <v>319</v>
      </c>
      <c r="G81" s="52" t="s">
        <v>319</v>
      </c>
      <c r="H81" s="52" t="s">
        <v>319</v>
      </c>
      <c r="I81" s="52" t="s">
        <v>319</v>
      </c>
      <c r="J81" s="53"/>
      <c r="K81" s="53"/>
      <c r="L81" s="53"/>
      <c r="M81" s="53"/>
      <c r="N81" s="53"/>
      <c r="O81" s="47"/>
      <c r="P81" s="115"/>
      <c r="Q81" s="47"/>
      <c r="R81" s="115"/>
      <c r="S81" s="115"/>
      <c r="T81" s="115"/>
      <c r="U81" s="58"/>
      <c r="V81" s="58"/>
      <c r="W81" s="58"/>
      <c r="X81" s="53"/>
      <c r="Y81" s="53"/>
      <c r="Z81" s="53"/>
      <c r="AA81" s="53"/>
      <c r="AB81" s="53"/>
      <c r="AC81" s="53"/>
      <c r="AD81" s="47"/>
      <c r="AE81" s="53"/>
      <c r="AF81" s="53"/>
      <c r="AG81" s="47"/>
      <c r="AH81" s="53">
        <f t="shared" si="12"/>
        <v>0</v>
      </c>
      <c r="AI81" s="51"/>
      <c r="AJ81" s="124" t="s">
        <v>319</v>
      </c>
    </row>
    <row r="82" spans="1:36" s="36" customFormat="1" ht="15.75" x14ac:dyDescent="0.25">
      <c r="A82" s="34" t="s">
        <v>215</v>
      </c>
      <c r="B82" s="35" t="s">
        <v>216</v>
      </c>
      <c r="C82" s="52" t="s">
        <v>45</v>
      </c>
      <c r="D82" s="52" t="s">
        <v>45</v>
      </c>
      <c r="E82" s="52" t="s">
        <v>320</v>
      </c>
      <c r="F82" s="52"/>
      <c r="G82" s="52"/>
      <c r="H82" s="50"/>
      <c r="I82" s="182">
        <v>89724</v>
      </c>
      <c r="J82" s="53"/>
      <c r="K82" s="53"/>
      <c r="L82" s="53"/>
      <c r="M82" s="53"/>
      <c r="N82" s="53"/>
      <c r="O82" s="47"/>
      <c r="P82" s="115"/>
      <c r="Q82" s="47"/>
      <c r="R82" s="115"/>
      <c r="S82" s="115"/>
      <c r="T82" s="115"/>
      <c r="U82" s="58"/>
      <c r="V82" s="58"/>
      <c r="W82" s="58"/>
      <c r="X82" s="53"/>
      <c r="Y82" s="53"/>
      <c r="Z82" s="53"/>
      <c r="AA82" s="53"/>
      <c r="AB82" s="53"/>
      <c r="AC82" s="53"/>
      <c r="AD82" s="47"/>
      <c r="AE82" s="54">
        <v>89724</v>
      </c>
      <c r="AF82" s="53"/>
      <c r="AG82" s="47"/>
      <c r="AH82" s="53">
        <f t="shared" si="12"/>
        <v>89724</v>
      </c>
      <c r="AI82" s="51"/>
      <c r="AJ82" s="55">
        <f t="shared" si="18"/>
        <v>0</v>
      </c>
    </row>
    <row r="83" spans="1:36" s="36" customFormat="1" ht="15.75" x14ac:dyDescent="0.25">
      <c r="A83" s="34" t="s">
        <v>210</v>
      </c>
      <c r="B83" s="35" t="s">
        <v>217</v>
      </c>
      <c r="C83" s="52" t="s">
        <v>45</v>
      </c>
      <c r="D83" s="52" t="s">
        <v>45</v>
      </c>
      <c r="E83" s="52" t="s">
        <v>320</v>
      </c>
      <c r="F83" s="52"/>
      <c r="G83" s="52"/>
      <c r="H83" s="50"/>
      <c r="I83" s="53"/>
      <c r="J83" s="53"/>
      <c r="K83" s="53"/>
      <c r="L83" s="53"/>
      <c r="M83" s="53"/>
      <c r="N83" s="53"/>
      <c r="O83" s="47"/>
      <c r="P83" s="115"/>
      <c r="Q83" s="47"/>
      <c r="R83" s="115"/>
      <c r="S83" s="115"/>
      <c r="T83" s="115"/>
      <c r="U83" s="58"/>
      <c r="V83" s="58"/>
      <c r="W83" s="58"/>
      <c r="X83" s="53"/>
      <c r="Y83" s="53"/>
      <c r="Z83" s="53"/>
      <c r="AA83" s="53"/>
      <c r="AB83" s="53"/>
      <c r="AC83" s="53"/>
      <c r="AD83" s="47"/>
      <c r="AE83" s="53"/>
      <c r="AF83" s="53"/>
      <c r="AG83" s="47"/>
      <c r="AH83" s="53">
        <f t="shared" si="12"/>
        <v>0</v>
      </c>
      <c r="AI83" s="51"/>
      <c r="AJ83" s="55">
        <f t="shared" si="18"/>
        <v>0</v>
      </c>
    </row>
    <row r="84" spans="1:36" s="36" customFormat="1" ht="15.75" x14ac:dyDescent="0.25">
      <c r="A84" s="34" t="s">
        <v>210</v>
      </c>
      <c r="B84" s="35" t="s">
        <v>211</v>
      </c>
      <c r="C84" s="52" t="s">
        <v>45</v>
      </c>
      <c r="D84" s="52" t="s">
        <v>45</v>
      </c>
      <c r="E84" s="52" t="s">
        <v>320</v>
      </c>
      <c r="F84" s="52"/>
      <c r="G84" s="52"/>
      <c r="H84" s="50"/>
      <c r="I84" s="53"/>
      <c r="J84" s="53"/>
      <c r="K84" s="53"/>
      <c r="L84" s="53"/>
      <c r="M84" s="53"/>
      <c r="N84" s="53"/>
      <c r="O84" s="47"/>
      <c r="P84" s="115"/>
      <c r="Q84" s="47"/>
      <c r="R84" s="115"/>
      <c r="S84" s="115"/>
      <c r="T84" s="115"/>
      <c r="U84" s="58"/>
      <c r="V84" s="58"/>
      <c r="W84" s="58"/>
      <c r="X84" s="53"/>
      <c r="Y84" s="53"/>
      <c r="Z84" s="53"/>
      <c r="AA84" s="53"/>
      <c r="AB84" s="53"/>
      <c r="AC84" s="53"/>
      <c r="AD84" s="47"/>
      <c r="AE84" s="53"/>
      <c r="AF84" s="53"/>
      <c r="AG84" s="47"/>
      <c r="AH84" s="53">
        <f t="shared" si="12"/>
        <v>0</v>
      </c>
      <c r="AI84" s="51"/>
      <c r="AJ84" s="55">
        <f t="shared" si="18"/>
        <v>0</v>
      </c>
    </row>
    <row r="85" spans="1:36" s="36" customFormat="1" ht="15.75" x14ac:dyDescent="0.25">
      <c r="A85" s="34" t="s">
        <v>210</v>
      </c>
      <c r="B85" s="35" t="s">
        <v>218</v>
      </c>
      <c r="C85" s="52" t="s">
        <v>45</v>
      </c>
      <c r="D85" s="52" t="s">
        <v>45</v>
      </c>
      <c r="E85" s="52" t="s">
        <v>320</v>
      </c>
      <c r="F85" s="52"/>
      <c r="G85" s="52"/>
      <c r="H85" s="50"/>
      <c r="I85" s="53"/>
      <c r="J85" s="53"/>
      <c r="K85" s="53"/>
      <c r="L85" s="53"/>
      <c r="M85" s="53"/>
      <c r="N85" s="53"/>
      <c r="O85" s="47"/>
      <c r="P85" s="115"/>
      <c r="Q85" s="47"/>
      <c r="R85" s="115"/>
      <c r="S85" s="115"/>
      <c r="T85" s="115"/>
      <c r="U85" s="58"/>
      <c r="V85" s="58"/>
      <c r="W85" s="58"/>
      <c r="X85" s="53"/>
      <c r="Y85" s="53"/>
      <c r="Z85" s="53"/>
      <c r="AA85" s="53"/>
      <c r="AB85" s="53"/>
      <c r="AC85" s="53"/>
      <c r="AD85" s="47"/>
      <c r="AE85" s="53"/>
      <c r="AF85" s="53"/>
      <c r="AG85" s="47"/>
      <c r="AH85" s="53">
        <f t="shared" si="12"/>
        <v>0</v>
      </c>
      <c r="AI85" s="51"/>
      <c r="AJ85" s="55">
        <f t="shared" si="18"/>
        <v>0</v>
      </c>
    </row>
    <row r="86" spans="1:36" s="36" customFormat="1" ht="15.75" x14ac:dyDescent="0.25">
      <c r="A86" s="34" t="s">
        <v>210</v>
      </c>
      <c r="B86" s="35" t="s">
        <v>219</v>
      </c>
      <c r="C86" s="52" t="s">
        <v>45</v>
      </c>
      <c r="D86" s="52" t="s">
        <v>45</v>
      </c>
      <c r="E86" s="52" t="s">
        <v>320</v>
      </c>
      <c r="F86" s="52"/>
      <c r="G86" s="52"/>
      <c r="H86" s="50"/>
      <c r="I86" s="53"/>
      <c r="J86" s="53"/>
      <c r="K86" s="53"/>
      <c r="L86" s="53"/>
      <c r="M86" s="53"/>
      <c r="N86" s="53"/>
      <c r="O86" s="47"/>
      <c r="P86" s="115"/>
      <c r="Q86" s="47"/>
      <c r="R86" s="115"/>
      <c r="S86" s="115"/>
      <c r="T86" s="115"/>
      <c r="U86" s="58"/>
      <c r="V86" s="58"/>
      <c r="W86" s="58"/>
      <c r="X86" s="53"/>
      <c r="Y86" s="53"/>
      <c r="Z86" s="53"/>
      <c r="AA86" s="53"/>
      <c r="AB86" s="53"/>
      <c r="AC86" s="53"/>
      <c r="AD86" s="47"/>
      <c r="AE86" s="53"/>
      <c r="AF86" s="53"/>
      <c r="AG86" s="47"/>
      <c r="AH86" s="53">
        <f t="shared" si="12"/>
        <v>0</v>
      </c>
      <c r="AI86" s="51"/>
      <c r="AJ86" s="55">
        <f t="shared" si="18"/>
        <v>0</v>
      </c>
    </row>
    <row r="87" spans="1:36" s="36" customFormat="1" ht="15.75" x14ac:dyDescent="0.25">
      <c r="A87" s="34" t="s">
        <v>210</v>
      </c>
      <c r="B87" s="35" t="s">
        <v>441</v>
      </c>
      <c r="C87" s="52" t="s">
        <v>45</v>
      </c>
      <c r="D87" s="52" t="s">
        <v>45</v>
      </c>
      <c r="E87" s="52" t="s">
        <v>320</v>
      </c>
      <c r="F87" s="52"/>
      <c r="G87" s="52"/>
      <c r="H87" s="50"/>
      <c r="I87" s="53"/>
      <c r="J87" s="53"/>
      <c r="K87" s="53"/>
      <c r="L87" s="53"/>
      <c r="M87" s="53"/>
      <c r="N87" s="53"/>
      <c r="O87" s="47"/>
      <c r="P87" s="115"/>
      <c r="Q87" s="47"/>
      <c r="R87" s="115"/>
      <c r="S87" s="115"/>
      <c r="T87" s="115"/>
      <c r="U87" s="58"/>
      <c r="V87" s="58"/>
      <c r="W87" s="58"/>
      <c r="X87" s="53"/>
      <c r="Y87" s="53"/>
      <c r="Z87" s="53"/>
      <c r="AA87" s="53"/>
      <c r="AB87" s="53"/>
      <c r="AC87" s="53"/>
      <c r="AD87" s="47"/>
      <c r="AE87" s="53"/>
      <c r="AF87" s="53"/>
      <c r="AG87" s="47"/>
      <c r="AH87" s="53">
        <f t="shared" si="12"/>
        <v>0</v>
      </c>
      <c r="AI87" s="51"/>
      <c r="AJ87" s="55">
        <f t="shared" si="18"/>
        <v>0</v>
      </c>
    </row>
    <row r="88" spans="1:36" s="36" customFormat="1" ht="15.75" x14ac:dyDescent="0.25">
      <c r="A88" s="34" t="s">
        <v>210</v>
      </c>
      <c r="B88" s="35" t="s">
        <v>221</v>
      </c>
      <c r="C88" s="52" t="s">
        <v>45</v>
      </c>
      <c r="D88" s="52" t="s">
        <v>45</v>
      </c>
      <c r="E88" s="52" t="s">
        <v>320</v>
      </c>
      <c r="F88" s="52"/>
      <c r="G88" s="52"/>
      <c r="H88" s="50"/>
      <c r="I88" s="53"/>
      <c r="J88" s="53"/>
      <c r="K88" s="53"/>
      <c r="L88" s="53"/>
      <c r="M88" s="53"/>
      <c r="N88" s="53"/>
      <c r="O88" s="47"/>
      <c r="P88" s="115"/>
      <c r="Q88" s="47"/>
      <c r="R88" s="115"/>
      <c r="S88" s="115"/>
      <c r="T88" s="115"/>
      <c r="U88" s="58"/>
      <c r="V88" s="58"/>
      <c r="W88" s="58"/>
      <c r="X88" s="53"/>
      <c r="Y88" s="53"/>
      <c r="Z88" s="53"/>
      <c r="AA88" s="53"/>
      <c r="AB88" s="53"/>
      <c r="AC88" s="53"/>
      <c r="AD88" s="47"/>
      <c r="AE88" s="53"/>
      <c r="AF88" s="53"/>
      <c r="AG88" s="47"/>
      <c r="AH88" s="53">
        <f t="shared" si="12"/>
        <v>0</v>
      </c>
      <c r="AI88" s="51"/>
      <c r="AJ88" s="55">
        <f t="shared" si="18"/>
        <v>0</v>
      </c>
    </row>
    <row r="89" spans="1:36" s="36" customFormat="1" ht="15.75" x14ac:dyDescent="0.25">
      <c r="A89" s="34" t="s">
        <v>210</v>
      </c>
      <c r="B89" s="35" t="s">
        <v>223</v>
      </c>
      <c r="C89" s="52" t="s">
        <v>45</v>
      </c>
      <c r="D89" s="52" t="s">
        <v>45</v>
      </c>
      <c r="E89" s="52" t="s">
        <v>320</v>
      </c>
      <c r="F89" s="52"/>
      <c r="G89" s="52"/>
      <c r="H89" s="50"/>
      <c r="I89" s="53">
        <v>90000</v>
      </c>
      <c r="J89" s="53"/>
      <c r="K89" s="53"/>
      <c r="L89" s="53"/>
      <c r="M89" s="53"/>
      <c r="N89" s="53"/>
      <c r="O89" s="47"/>
      <c r="P89" s="115"/>
      <c r="Q89" s="47"/>
      <c r="R89" s="115"/>
      <c r="S89" s="115"/>
      <c r="T89" s="115"/>
      <c r="U89" s="58"/>
      <c r="V89" s="58"/>
      <c r="W89" s="58"/>
      <c r="X89" s="53"/>
      <c r="Y89" s="53"/>
      <c r="Z89" s="53"/>
      <c r="AA89" s="53"/>
      <c r="AB89" s="53"/>
      <c r="AC89" s="53"/>
      <c r="AD89" s="47"/>
      <c r="AE89" s="54">
        <v>90000</v>
      </c>
      <c r="AF89" s="53"/>
      <c r="AG89" s="47"/>
      <c r="AH89" s="53">
        <f t="shared" si="12"/>
        <v>90000</v>
      </c>
      <c r="AI89" s="51"/>
      <c r="AJ89" s="55">
        <f t="shared" si="18"/>
        <v>0</v>
      </c>
    </row>
    <row r="90" spans="1:36" s="36" customFormat="1" ht="15.75" x14ac:dyDescent="0.25">
      <c r="A90" s="34" t="s">
        <v>398</v>
      </c>
      <c r="B90" s="35" t="s">
        <v>225</v>
      </c>
      <c r="C90" s="52" t="s">
        <v>45</v>
      </c>
      <c r="D90" s="52" t="s">
        <v>45</v>
      </c>
      <c r="E90" s="52" t="s">
        <v>320</v>
      </c>
      <c r="F90" s="52">
        <v>44409</v>
      </c>
      <c r="G90" s="52">
        <v>44649</v>
      </c>
      <c r="H90" s="50"/>
      <c r="I90" s="53">
        <v>1500000</v>
      </c>
      <c r="J90" s="53"/>
      <c r="K90" s="53"/>
      <c r="L90" s="53"/>
      <c r="M90" s="53"/>
      <c r="N90" s="53"/>
      <c r="O90" s="47"/>
      <c r="P90" s="115"/>
      <c r="Q90" s="47"/>
      <c r="R90" s="115"/>
      <c r="S90" s="115"/>
      <c r="T90" s="115"/>
      <c r="U90" s="58"/>
      <c r="V90" s="58"/>
      <c r="W90" s="58"/>
      <c r="X90" s="53"/>
      <c r="Y90" s="53"/>
      <c r="Z90" s="53"/>
      <c r="AA90" s="53"/>
      <c r="AB90" s="53"/>
      <c r="AC90" s="53"/>
      <c r="AD90" s="47"/>
      <c r="AE90" s="54">
        <v>1500000</v>
      </c>
      <c r="AF90" s="53"/>
      <c r="AG90" s="47"/>
      <c r="AH90" s="53">
        <f t="shared" si="12"/>
        <v>1500000</v>
      </c>
      <c r="AI90" s="51"/>
      <c r="AJ90" s="55">
        <f t="shared" si="18"/>
        <v>0</v>
      </c>
    </row>
    <row r="91" spans="1:36" s="36" customFormat="1" ht="15.75" x14ac:dyDescent="0.25">
      <c r="A91" s="64" t="s">
        <v>337</v>
      </c>
      <c r="B91" s="65" t="s">
        <v>422</v>
      </c>
      <c r="C91" s="52" t="s">
        <v>387</v>
      </c>
      <c r="D91" s="87" t="s">
        <v>45</v>
      </c>
      <c r="E91" s="52" t="s">
        <v>320</v>
      </c>
      <c r="F91" s="52" t="s">
        <v>319</v>
      </c>
      <c r="G91" s="52" t="s">
        <v>319</v>
      </c>
      <c r="H91" s="52" t="s">
        <v>319</v>
      </c>
      <c r="I91" s="182">
        <v>37392</v>
      </c>
      <c r="J91" s="53"/>
      <c r="K91" s="53"/>
      <c r="L91" s="53"/>
      <c r="M91" s="53"/>
      <c r="N91" s="53"/>
      <c r="O91" s="47"/>
      <c r="P91" s="115"/>
      <c r="Q91" s="47"/>
      <c r="R91" s="115"/>
      <c r="S91" s="115">
        <v>37392</v>
      </c>
      <c r="T91" s="115"/>
      <c r="U91" s="58"/>
      <c r="V91" s="58"/>
      <c r="W91" s="58"/>
      <c r="X91" s="58"/>
      <c r="Y91" s="58"/>
      <c r="Z91" s="58"/>
      <c r="AA91" s="58"/>
      <c r="AB91" s="58"/>
      <c r="AC91" s="58"/>
      <c r="AD91" s="47"/>
      <c r="AE91" s="53"/>
      <c r="AF91" s="53"/>
      <c r="AG91" s="47"/>
      <c r="AH91" s="53">
        <f>SUM(P91:AG91)</f>
        <v>37392</v>
      </c>
      <c r="AI91" s="51"/>
      <c r="AJ91" s="55">
        <f>I91-AH91</f>
        <v>0</v>
      </c>
    </row>
    <row r="92" spans="1:36" s="36" customFormat="1" ht="15.75" x14ac:dyDescent="0.25">
      <c r="A92" s="183" t="s">
        <v>340</v>
      </c>
      <c r="B92" s="184" t="s">
        <v>429</v>
      </c>
      <c r="C92" s="52" t="s">
        <v>387</v>
      </c>
      <c r="D92" s="87" t="s">
        <v>45</v>
      </c>
      <c r="E92" s="52" t="s">
        <v>320</v>
      </c>
      <c r="F92" s="52" t="s">
        <v>319</v>
      </c>
      <c r="G92" s="52" t="s">
        <v>319</v>
      </c>
      <c r="H92" s="52" t="s">
        <v>319</v>
      </c>
      <c r="I92" s="53">
        <v>3575</v>
      </c>
      <c r="J92" s="53"/>
      <c r="K92" s="53"/>
      <c r="L92" s="53"/>
      <c r="M92" s="53"/>
      <c r="N92" s="53"/>
      <c r="O92" s="47"/>
      <c r="P92" s="115"/>
      <c r="Q92" s="47"/>
      <c r="R92" s="115"/>
      <c r="S92" s="115">
        <v>3575</v>
      </c>
      <c r="T92" s="115"/>
      <c r="U92" s="58"/>
      <c r="V92" s="58"/>
      <c r="W92" s="58"/>
      <c r="X92" s="58"/>
      <c r="Y92" s="58"/>
      <c r="Z92" s="58"/>
      <c r="AA92" s="58"/>
      <c r="AB92" s="58"/>
      <c r="AC92" s="58"/>
      <c r="AD92" s="47"/>
      <c r="AE92" s="58"/>
      <c r="AF92" s="53"/>
      <c r="AG92" s="47"/>
      <c r="AH92" s="53">
        <f>SUM(P92:AG92)</f>
        <v>3575</v>
      </c>
      <c r="AI92" s="51"/>
      <c r="AJ92" s="55">
        <f>I92-AH92</f>
        <v>0</v>
      </c>
    </row>
    <row r="93" spans="1:36" s="36" customFormat="1" ht="15.75" x14ac:dyDescent="0.25">
      <c r="A93" s="34" t="s">
        <v>226</v>
      </c>
      <c r="B93" s="35" t="s">
        <v>442</v>
      </c>
      <c r="C93" s="52" t="s">
        <v>45</v>
      </c>
      <c r="D93" s="52" t="s">
        <v>45</v>
      </c>
      <c r="E93" s="52" t="s">
        <v>320</v>
      </c>
      <c r="F93" s="52">
        <v>44436</v>
      </c>
      <c r="G93" s="52">
        <v>44616</v>
      </c>
      <c r="H93" s="50"/>
      <c r="I93" s="53">
        <v>2000000</v>
      </c>
      <c r="J93" s="53"/>
      <c r="K93" s="53"/>
      <c r="L93" s="53"/>
      <c r="M93" s="53"/>
      <c r="N93" s="53"/>
      <c r="O93" s="47"/>
      <c r="P93" s="115"/>
      <c r="Q93" s="47"/>
      <c r="R93" s="115"/>
      <c r="S93" s="115"/>
      <c r="T93" s="115"/>
      <c r="U93" s="58"/>
      <c r="V93" s="58"/>
      <c r="W93" s="58"/>
      <c r="X93" s="58"/>
      <c r="Y93" s="58"/>
      <c r="Z93" s="58"/>
      <c r="AA93" s="58"/>
      <c r="AB93" s="58"/>
      <c r="AC93" s="58"/>
      <c r="AD93" s="47"/>
      <c r="AE93" s="54">
        <v>2000000</v>
      </c>
      <c r="AF93" s="53"/>
      <c r="AG93" s="47"/>
      <c r="AH93" s="53">
        <f t="shared" si="12"/>
        <v>2000000</v>
      </c>
      <c r="AI93" s="51"/>
      <c r="AJ93" s="55">
        <f t="shared" si="18"/>
        <v>0</v>
      </c>
    </row>
    <row r="94" spans="1:36" s="36" customFormat="1" ht="15.75" x14ac:dyDescent="0.25">
      <c r="A94" s="34" t="s">
        <v>228</v>
      </c>
      <c r="B94" s="35" t="s">
        <v>443</v>
      </c>
      <c r="C94" s="52" t="s">
        <v>45</v>
      </c>
      <c r="D94" s="52" t="s">
        <v>389</v>
      </c>
      <c r="E94" s="52" t="s">
        <v>320</v>
      </c>
      <c r="F94" s="52"/>
      <c r="G94" s="52"/>
      <c r="H94" s="50"/>
      <c r="I94" s="53">
        <v>1750000</v>
      </c>
      <c r="J94" s="53"/>
      <c r="K94" s="53"/>
      <c r="L94" s="53"/>
      <c r="M94" s="53"/>
      <c r="N94" s="53"/>
      <c r="O94" s="47"/>
      <c r="P94" s="115"/>
      <c r="Q94" s="47"/>
      <c r="R94" s="115"/>
      <c r="S94" s="115"/>
      <c r="T94" s="115"/>
      <c r="U94" s="58"/>
      <c r="V94" s="58"/>
      <c r="W94" s="58"/>
      <c r="X94" s="53"/>
      <c r="Y94" s="53"/>
      <c r="Z94" s="53"/>
      <c r="AA94" s="53"/>
      <c r="AB94" s="53"/>
      <c r="AC94" s="53"/>
      <c r="AD94" s="47"/>
      <c r="AE94" s="53">
        <v>1750000</v>
      </c>
      <c r="AF94" s="53"/>
      <c r="AG94" s="47"/>
      <c r="AH94" s="53">
        <f t="shared" si="12"/>
        <v>1750000</v>
      </c>
      <c r="AI94" s="51"/>
      <c r="AJ94" s="55">
        <f t="shared" si="18"/>
        <v>0</v>
      </c>
    </row>
    <row r="95" spans="1:36" s="36" customFormat="1" ht="15.75" x14ac:dyDescent="0.25">
      <c r="A95" s="34"/>
      <c r="B95" s="35"/>
      <c r="C95" s="52"/>
      <c r="D95" s="52"/>
      <c r="E95" s="52"/>
      <c r="F95" s="52"/>
      <c r="G95" s="52"/>
      <c r="H95" s="50"/>
      <c r="I95" s="53"/>
      <c r="J95" s="53"/>
      <c r="K95" s="53"/>
      <c r="L95" s="53"/>
      <c r="M95" s="53"/>
      <c r="N95" s="53"/>
      <c r="O95" s="47"/>
      <c r="P95" s="115"/>
      <c r="Q95" s="47"/>
      <c r="R95" s="115"/>
      <c r="S95" s="115"/>
      <c r="T95" s="115"/>
      <c r="U95" s="58"/>
      <c r="V95" s="58"/>
      <c r="W95" s="58"/>
      <c r="X95" s="53"/>
      <c r="Y95" s="53"/>
      <c r="Z95" s="53"/>
      <c r="AA95" s="53"/>
      <c r="AB95" s="53"/>
      <c r="AC95" s="53"/>
      <c r="AD95" s="47"/>
      <c r="AE95" s="53"/>
      <c r="AF95" s="53"/>
      <c r="AG95" s="47"/>
      <c r="AH95" s="53">
        <f t="shared" si="12"/>
        <v>0</v>
      </c>
      <c r="AI95" s="51"/>
      <c r="AJ95" s="55">
        <f t="shared" si="18"/>
        <v>0</v>
      </c>
    </row>
    <row r="96" spans="1:36" s="36" customFormat="1" ht="15.75" x14ac:dyDescent="0.25">
      <c r="A96" s="34"/>
      <c r="B96" s="35"/>
      <c r="C96" s="52"/>
      <c r="D96" s="52"/>
      <c r="E96" s="52"/>
      <c r="F96" s="52"/>
      <c r="G96" s="52"/>
      <c r="H96" s="50"/>
      <c r="I96" s="53"/>
      <c r="J96" s="53"/>
      <c r="K96" s="53"/>
      <c r="L96" s="53"/>
      <c r="M96" s="53"/>
      <c r="N96" s="53"/>
      <c r="O96" s="47"/>
      <c r="P96" s="115"/>
      <c r="Q96" s="47"/>
      <c r="R96" s="115"/>
      <c r="S96" s="115"/>
      <c r="T96" s="115"/>
      <c r="U96" s="58"/>
      <c r="V96" s="58"/>
      <c r="W96" s="58"/>
      <c r="X96" s="53"/>
      <c r="Y96" s="53"/>
      <c r="Z96" s="53"/>
      <c r="AA96" s="53"/>
      <c r="AB96" s="53"/>
      <c r="AC96" s="53"/>
      <c r="AD96" s="47"/>
      <c r="AE96" s="53"/>
      <c r="AF96" s="53"/>
      <c r="AG96" s="47"/>
      <c r="AH96" s="53">
        <f t="shared" si="12"/>
        <v>0</v>
      </c>
      <c r="AI96" s="51"/>
      <c r="AJ96" s="55">
        <f t="shared" si="18"/>
        <v>0</v>
      </c>
    </row>
    <row r="97" spans="1:36" s="36" customFormat="1" ht="15.75" x14ac:dyDescent="0.25">
      <c r="A97" s="99"/>
      <c r="B97" s="100"/>
      <c r="C97" s="91"/>
      <c r="D97" s="91"/>
      <c r="E97" s="91"/>
      <c r="F97" s="91"/>
      <c r="G97" s="91"/>
      <c r="H97" s="92"/>
      <c r="I97" s="59">
        <f>SUM(I56:I96)</f>
        <v>37276758</v>
      </c>
      <c r="J97" s="59"/>
      <c r="K97" s="59"/>
      <c r="L97" s="59"/>
      <c r="M97" s="59"/>
      <c r="N97" s="59"/>
      <c r="O97" s="47"/>
      <c r="P97" s="59">
        <f>SUM(P56:P96)</f>
        <v>122184</v>
      </c>
      <c r="Q97" s="47"/>
      <c r="R97" s="59">
        <f>SUM(R56:R96)</f>
        <v>353138</v>
      </c>
      <c r="S97" s="59">
        <f t="shared" ref="S97:AC97" si="19">SUM(S56:S96)</f>
        <v>188750</v>
      </c>
      <c r="T97" s="59">
        <f t="shared" si="19"/>
        <v>71648</v>
      </c>
      <c r="U97" s="59">
        <f t="shared" si="19"/>
        <v>100000</v>
      </c>
      <c r="V97" s="59">
        <f t="shared" si="19"/>
        <v>525000</v>
      </c>
      <c r="W97" s="59">
        <f t="shared" si="19"/>
        <v>700000</v>
      </c>
      <c r="X97" s="59">
        <f t="shared" si="19"/>
        <v>1105000</v>
      </c>
      <c r="Y97" s="59">
        <f t="shared" si="19"/>
        <v>1480000</v>
      </c>
      <c r="Z97" s="59">
        <f t="shared" si="19"/>
        <v>1875000</v>
      </c>
      <c r="AA97" s="59">
        <f t="shared" si="19"/>
        <v>2950000</v>
      </c>
      <c r="AB97" s="59">
        <f t="shared" si="19"/>
        <v>3000000</v>
      </c>
      <c r="AC97" s="59">
        <f t="shared" si="19"/>
        <v>2800000</v>
      </c>
      <c r="AD97" s="47"/>
      <c r="AE97" s="59">
        <f>SUM(AE56:AE96)</f>
        <v>24506038</v>
      </c>
      <c r="AF97" s="59">
        <f>SUM(AF56:AF96)</f>
        <v>0</v>
      </c>
      <c r="AG97" s="47"/>
      <c r="AH97" s="53">
        <f t="shared" si="12"/>
        <v>39776758</v>
      </c>
      <c r="AI97" s="51"/>
      <c r="AJ97" s="55">
        <f t="shared" si="18"/>
        <v>-2500000</v>
      </c>
    </row>
    <row r="98" spans="1:36" s="36" customFormat="1" ht="16.5" thickBot="1" x14ac:dyDescent="0.3">
      <c r="A98" s="34"/>
      <c r="B98" s="35"/>
      <c r="C98" s="52"/>
      <c r="D98" s="52"/>
      <c r="E98" s="52"/>
      <c r="F98" s="52"/>
      <c r="G98" s="141"/>
      <c r="H98" s="142"/>
      <c r="I98" s="143"/>
      <c r="J98" s="143"/>
      <c r="K98" s="143"/>
      <c r="L98" s="143"/>
      <c r="M98" s="143"/>
      <c r="N98" s="143"/>
      <c r="O98" s="144"/>
      <c r="P98" s="143"/>
      <c r="Q98" s="144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4"/>
      <c r="AE98" s="143"/>
      <c r="AF98" s="143"/>
      <c r="AG98" s="144"/>
      <c r="AH98" s="143"/>
      <c r="AI98" s="145"/>
      <c r="AJ98" s="55">
        <f t="shared" si="18"/>
        <v>0</v>
      </c>
    </row>
    <row r="99" spans="1:36" s="36" customFormat="1" ht="16.5" thickBot="1" x14ac:dyDescent="0.3">
      <c r="C99" s="37"/>
      <c r="D99" s="37"/>
      <c r="E99" s="37"/>
      <c r="F99" s="37"/>
      <c r="G99" s="70"/>
      <c r="H99" s="148" t="s">
        <v>445</v>
      </c>
      <c r="I99" s="149">
        <f t="shared" ref="I99:N99" si="20">I13+I18+I34+I37+I54+I97</f>
        <v>87831224</v>
      </c>
      <c r="J99" s="149">
        <f t="shared" si="20"/>
        <v>0</v>
      </c>
      <c r="K99" s="149">
        <f t="shared" si="20"/>
        <v>0</v>
      </c>
      <c r="L99" s="149">
        <f t="shared" si="20"/>
        <v>0</v>
      </c>
      <c r="M99" s="149">
        <f t="shared" si="20"/>
        <v>0</v>
      </c>
      <c r="N99" s="149">
        <f t="shared" si="20"/>
        <v>0</v>
      </c>
      <c r="O99" s="144"/>
      <c r="P99" s="151">
        <f>P13+P18+P34+P37+P54+P97</f>
        <v>12192800</v>
      </c>
      <c r="Q99" s="144"/>
      <c r="R99" s="151">
        <f t="shared" ref="R99:AC99" si="21">R13+R18+R34+R37+R54+R97</f>
        <v>3795406</v>
      </c>
      <c r="S99" s="151">
        <f t="shared" si="21"/>
        <v>2521879</v>
      </c>
      <c r="T99" s="151">
        <f t="shared" si="21"/>
        <v>3804063</v>
      </c>
      <c r="U99" s="149">
        <f t="shared" si="21"/>
        <v>4813084</v>
      </c>
      <c r="V99" s="149">
        <f t="shared" si="21"/>
        <v>4847725</v>
      </c>
      <c r="W99" s="149">
        <f t="shared" si="21"/>
        <v>4984480</v>
      </c>
      <c r="X99" s="149">
        <f t="shared" si="21"/>
        <v>4292601</v>
      </c>
      <c r="Y99" s="149">
        <f t="shared" si="21"/>
        <v>4576521</v>
      </c>
      <c r="Z99" s="149">
        <f t="shared" si="21"/>
        <v>4449117</v>
      </c>
      <c r="AA99" s="149">
        <f t="shared" si="21"/>
        <v>5303964</v>
      </c>
      <c r="AB99" s="149">
        <f t="shared" si="21"/>
        <v>4951965</v>
      </c>
      <c r="AC99" s="149">
        <f t="shared" si="21"/>
        <v>3803263</v>
      </c>
      <c r="AD99" s="144"/>
      <c r="AE99" s="149">
        <f>AE13+AE18+AE34+AE37+AE54+AE97</f>
        <v>25994356</v>
      </c>
      <c r="AF99" s="149">
        <f>AF13+AF18+AF34+AF37+AF54+AF97</f>
        <v>0</v>
      </c>
      <c r="AG99" s="150"/>
      <c r="AH99" s="152">
        <f>SUM(P99:AG99)</f>
        <v>90331224</v>
      </c>
      <c r="AI99" s="153"/>
      <c r="AJ99" s="55">
        <f t="shared" si="18"/>
        <v>-2500000</v>
      </c>
    </row>
    <row r="100" spans="1:36" s="90" customFormat="1" ht="15.75" x14ac:dyDescent="0.25">
      <c r="C100" s="122"/>
      <c r="D100" s="122"/>
      <c r="E100" s="122"/>
      <c r="F100" s="122"/>
      <c r="G100" s="123"/>
      <c r="H100" s="124" t="s">
        <v>405</v>
      </c>
      <c r="I100" s="125"/>
      <c r="J100" s="125"/>
      <c r="K100" s="125"/>
      <c r="L100" s="125"/>
      <c r="M100" s="125"/>
      <c r="N100" s="125"/>
      <c r="O100" s="126"/>
      <c r="P100" s="125">
        <v>14657045</v>
      </c>
      <c r="Q100" s="126"/>
      <c r="R100" s="128">
        <v>2798117.1428571427</v>
      </c>
      <c r="S100" s="128">
        <v>3206824.6428571427</v>
      </c>
      <c r="T100" s="128">
        <v>4008392.6428571427</v>
      </c>
      <c r="U100" s="128">
        <v>4318997.6428571427</v>
      </c>
      <c r="V100" s="128">
        <v>5069566.6428571418</v>
      </c>
      <c r="W100" s="128">
        <v>5575814.6428571418</v>
      </c>
      <c r="X100" s="128">
        <v>5314704.6428571418</v>
      </c>
      <c r="Y100" s="128">
        <v>5476840</v>
      </c>
      <c r="Z100" s="128">
        <v>5359959</v>
      </c>
      <c r="AA100" s="128">
        <v>6173564</v>
      </c>
      <c r="AB100" s="128">
        <v>5501722</v>
      </c>
      <c r="AC100" s="128">
        <v>3866535</v>
      </c>
      <c r="AD100" s="146"/>
      <c r="AE100" s="125">
        <v>16008105</v>
      </c>
      <c r="AF100" s="125"/>
      <c r="AG100" s="146"/>
      <c r="AH100" s="125"/>
      <c r="AI100" s="126"/>
    </row>
    <row r="101" spans="1:36" ht="15.75" x14ac:dyDescent="0.25">
      <c r="G101" s="75"/>
      <c r="H101" s="38" t="s">
        <v>406</v>
      </c>
      <c r="I101" s="76"/>
      <c r="J101" s="76"/>
      <c r="K101" s="76"/>
      <c r="L101" s="76"/>
      <c r="M101" s="76"/>
      <c r="N101" s="76"/>
      <c r="O101" s="77"/>
      <c r="P101" s="128">
        <f>P99-P100</f>
        <v>-2464245</v>
      </c>
      <c r="Q101" s="126"/>
      <c r="R101" s="128">
        <f>R99-R100</f>
        <v>997288.85714285728</v>
      </c>
      <c r="S101" s="128">
        <f t="shared" ref="S101:AC101" si="22">S99-S100</f>
        <v>-684945.64285714272</v>
      </c>
      <c r="T101" s="128">
        <f t="shared" si="22"/>
        <v>-204329.64285714272</v>
      </c>
      <c r="U101" s="128">
        <f t="shared" si="22"/>
        <v>494086.35714285728</v>
      </c>
      <c r="V101" s="128">
        <f t="shared" si="22"/>
        <v>-221841.64285714179</v>
      </c>
      <c r="W101" s="128">
        <f t="shared" si="22"/>
        <v>-591334.64285714179</v>
      </c>
      <c r="X101" s="128">
        <f t="shared" si="22"/>
        <v>-1022103.6428571418</v>
      </c>
      <c r="Y101" s="128">
        <f t="shared" si="22"/>
        <v>-900319</v>
      </c>
      <c r="Z101" s="128">
        <f t="shared" si="22"/>
        <v>-910842</v>
      </c>
      <c r="AA101" s="128">
        <f t="shared" si="22"/>
        <v>-869600</v>
      </c>
      <c r="AB101" s="128">
        <f t="shared" si="22"/>
        <v>-549757</v>
      </c>
      <c r="AC101" s="128">
        <f t="shared" si="22"/>
        <v>-63272</v>
      </c>
      <c r="AD101" s="127"/>
      <c r="AE101" s="125"/>
      <c r="AF101" s="125"/>
      <c r="AG101" s="47"/>
      <c r="AH101" s="76"/>
      <c r="AI101" s="77"/>
      <c r="AJ101" s="90"/>
    </row>
    <row r="102" spans="1:36" ht="15.75" x14ac:dyDescent="0.25">
      <c r="Q102" s="132"/>
      <c r="R102" s="130"/>
      <c r="S102" s="130"/>
      <c r="T102" s="130"/>
      <c r="U102" s="133"/>
      <c r="V102" s="133"/>
      <c r="W102" s="133"/>
      <c r="X102" s="130"/>
      <c r="Y102" s="130"/>
      <c r="Z102" s="130"/>
      <c r="AA102" s="130"/>
      <c r="AB102" s="130"/>
      <c r="AC102" s="130"/>
      <c r="AD102" s="127"/>
      <c r="AE102" s="130"/>
      <c r="AF102" s="130"/>
      <c r="AG102" s="47"/>
    </row>
    <row r="103" spans="1:36" ht="15.75" x14ac:dyDescent="0.25">
      <c r="H103" s="38" t="s">
        <v>407</v>
      </c>
      <c r="Q103" s="132"/>
      <c r="R103" s="136">
        <v>2897650</v>
      </c>
      <c r="S103" s="192"/>
      <c r="T103" s="192"/>
      <c r="U103" s="133"/>
      <c r="V103" s="133"/>
      <c r="W103" s="133"/>
      <c r="X103" s="130"/>
      <c r="Y103" s="130"/>
      <c r="Z103" s="130"/>
      <c r="AA103" s="130"/>
      <c r="AB103" s="130"/>
      <c r="AC103" s="130"/>
      <c r="AD103" s="127"/>
      <c r="AE103" s="130"/>
      <c r="AF103" s="130"/>
      <c r="AG103" s="47"/>
    </row>
    <row r="104" spans="1:36" ht="15.75" x14ac:dyDescent="0.25">
      <c r="H104" s="38" t="s">
        <v>408</v>
      </c>
      <c r="Q104" s="132"/>
      <c r="R104" s="130">
        <f>(R100*0.9)*0.887</f>
        <v>2233736.915142857</v>
      </c>
      <c r="S104" s="130">
        <f t="shared" ref="S104:AE104" si="23">(S100*0.9)*0.887</f>
        <v>2560008.1123928572</v>
      </c>
      <c r="T104" s="130">
        <f t="shared" si="23"/>
        <v>3199899.8467928572</v>
      </c>
      <c r="U104" s="130">
        <f t="shared" si="23"/>
        <v>3447855.8182928571</v>
      </c>
      <c r="V104" s="130">
        <f t="shared" si="23"/>
        <v>4047035.0509928567</v>
      </c>
      <c r="W104" s="130">
        <f t="shared" si="23"/>
        <v>4451172.8293928569</v>
      </c>
      <c r="X104" s="130">
        <f t="shared" si="23"/>
        <v>4242728.716392857</v>
      </c>
      <c r="Y104" s="130">
        <f t="shared" si="23"/>
        <v>4372161.3720000004</v>
      </c>
      <c r="Z104" s="130">
        <f t="shared" si="23"/>
        <v>4278855.269700001</v>
      </c>
      <c r="AA104" s="130">
        <f t="shared" si="23"/>
        <v>4928356.1412000004</v>
      </c>
      <c r="AB104" s="130">
        <f t="shared" si="23"/>
        <v>4392024.6726000002</v>
      </c>
      <c r="AC104" s="130">
        <f t="shared" si="23"/>
        <v>3086654.8905000002</v>
      </c>
      <c r="AD104" s="127"/>
      <c r="AE104" s="130">
        <f t="shared" si="23"/>
        <v>12779270.2215</v>
      </c>
      <c r="AF104" s="130"/>
      <c r="AG104" s="47"/>
    </row>
    <row r="105" spans="1:36" ht="15.75" x14ac:dyDescent="0.25">
      <c r="H105" s="38" t="s">
        <v>406</v>
      </c>
      <c r="Q105" s="132"/>
      <c r="R105" s="130">
        <f>R103-R104</f>
        <v>663913.084857143</v>
      </c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27"/>
      <c r="AE105" s="130"/>
      <c r="AF105" s="130"/>
      <c r="AG105" s="47"/>
    </row>
    <row r="106" spans="1:36" ht="15.75" x14ac:dyDescent="0.25">
      <c r="Q106" s="132"/>
      <c r="R106" s="130"/>
      <c r="S106" s="130"/>
      <c r="T106" s="130"/>
      <c r="U106" s="133"/>
      <c r="V106" s="133"/>
      <c r="W106" s="133"/>
      <c r="X106" s="130"/>
      <c r="Y106" s="130"/>
      <c r="Z106" s="130"/>
      <c r="AA106" s="130"/>
      <c r="AB106" s="130"/>
      <c r="AC106" s="130"/>
      <c r="AD106" s="127"/>
      <c r="AE106" s="130"/>
      <c r="AF106" s="130"/>
      <c r="AG106" s="47"/>
    </row>
    <row r="107" spans="1:36" ht="15.75" x14ac:dyDescent="0.25">
      <c r="H107" s="38" t="s">
        <v>409</v>
      </c>
      <c r="Q107" s="132"/>
      <c r="R107" s="136">
        <v>261214</v>
      </c>
      <c r="S107" s="192"/>
      <c r="T107" s="192"/>
      <c r="U107" s="133"/>
      <c r="V107" s="133"/>
      <c r="W107" s="133"/>
      <c r="X107" s="130"/>
      <c r="Y107" s="130"/>
      <c r="Z107" s="130"/>
      <c r="AA107" s="130"/>
      <c r="AB107" s="130"/>
      <c r="AC107" s="130"/>
      <c r="AD107" s="127"/>
      <c r="AE107" s="130"/>
      <c r="AF107" s="130"/>
      <c r="AG107" s="47"/>
    </row>
    <row r="108" spans="1:36" ht="15.75" x14ac:dyDescent="0.25">
      <c r="H108" s="38" t="s">
        <v>410</v>
      </c>
      <c r="Q108" s="132"/>
      <c r="R108" s="130">
        <f t="shared" ref="R108:AC108" si="24">(R100*0.877)*0.1</f>
        <v>245394.87342857142</v>
      </c>
      <c r="S108" s="130">
        <f t="shared" si="24"/>
        <v>281238.52117857145</v>
      </c>
      <c r="T108" s="130">
        <f t="shared" si="24"/>
        <v>351536.03477857145</v>
      </c>
      <c r="U108" s="130">
        <f t="shared" si="24"/>
        <v>378776.09327857144</v>
      </c>
      <c r="V108" s="130">
        <f t="shared" si="24"/>
        <v>444600.99457857135</v>
      </c>
      <c r="W108" s="130">
        <f t="shared" si="24"/>
        <v>488998.9441785714</v>
      </c>
      <c r="X108" s="130">
        <f t="shared" si="24"/>
        <v>466099.59717857133</v>
      </c>
      <c r="Y108" s="130">
        <f t="shared" si="24"/>
        <v>480318.86800000002</v>
      </c>
      <c r="Z108" s="130">
        <f t="shared" si="24"/>
        <v>470068.40429999999</v>
      </c>
      <c r="AA108" s="130">
        <f t="shared" si="24"/>
        <v>541421.56279999996</v>
      </c>
      <c r="AB108" s="130">
        <f t="shared" si="24"/>
        <v>482501.01940000005</v>
      </c>
      <c r="AC108" s="130">
        <f t="shared" si="24"/>
        <v>339095.11950000003</v>
      </c>
      <c r="AD108" s="127"/>
      <c r="AE108" s="130">
        <f>(AE100*0.877)*0.1</f>
        <v>1403910.8085000003</v>
      </c>
      <c r="AF108" s="130"/>
      <c r="AG108" s="47"/>
    </row>
    <row r="109" spans="1:36" ht="15.75" x14ac:dyDescent="0.25">
      <c r="G109" s="75"/>
      <c r="H109" s="38" t="s">
        <v>406</v>
      </c>
      <c r="I109" s="76"/>
      <c r="J109" s="76"/>
      <c r="K109" s="76"/>
      <c r="L109" s="76"/>
      <c r="M109" s="76"/>
      <c r="N109" s="76"/>
      <c r="O109" s="77"/>
      <c r="P109" s="125"/>
      <c r="Q109" s="126"/>
      <c r="R109" s="128">
        <f>R107-R108</f>
        <v>15819.126571428584</v>
      </c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7"/>
      <c r="AE109" s="125"/>
      <c r="AF109" s="125"/>
      <c r="AG109" s="47"/>
      <c r="AH109" s="76"/>
      <c r="AI109" s="77"/>
      <c r="AJ109" s="90"/>
    </row>
    <row r="110" spans="1:36" ht="15.75" x14ac:dyDescent="0.25">
      <c r="G110" s="75"/>
      <c r="I110" s="76"/>
      <c r="J110" s="76"/>
      <c r="K110" s="76"/>
      <c r="L110" s="76"/>
      <c r="M110" s="76"/>
      <c r="N110" s="76"/>
      <c r="O110" s="77"/>
      <c r="P110" s="125"/>
      <c r="Q110" s="126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7"/>
      <c r="AE110" s="125"/>
      <c r="AF110" s="125"/>
      <c r="AG110" s="47"/>
      <c r="AH110" s="76"/>
      <c r="AI110" s="77"/>
      <c r="AJ110" s="90"/>
    </row>
    <row r="111" spans="1:36" ht="15.75" x14ac:dyDescent="0.25">
      <c r="G111" s="75"/>
      <c r="H111" s="38" t="s">
        <v>411</v>
      </c>
      <c r="I111" s="76"/>
      <c r="J111" s="76"/>
      <c r="K111" s="76"/>
      <c r="L111" s="76"/>
      <c r="M111" s="76"/>
      <c r="N111" s="76"/>
      <c r="O111" s="77"/>
      <c r="P111" s="125"/>
      <c r="Q111" s="126"/>
      <c r="R111" s="139">
        <v>9.01E-2</v>
      </c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27"/>
      <c r="AE111" s="125"/>
      <c r="AF111" s="125"/>
      <c r="AG111" s="47"/>
      <c r="AH111" s="76"/>
      <c r="AI111" s="77"/>
      <c r="AJ111" s="90"/>
    </row>
    <row r="112" spans="1:36" ht="15.75" x14ac:dyDescent="0.25">
      <c r="G112" s="75"/>
      <c r="H112" s="38" t="s">
        <v>412</v>
      </c>
      <c r="I112" s="76"/>
      <c r="J112" s="76"/>
      <c r="K112" s="76"/>
      <c r="L112" s="76"/>
      <c r="M112" s="76"/>
      <c r="N112" s="76"/>
      <c r="O112" s="77"/>
      <c r="P112" s="125"/>
      <c r="Q112" s="126"/>
      <c r="R112" s="137">
        <v>0.1</v>
      </c>
      <c r="S112" s="137">
        <v>0.1</v>
      </c>
      <c r="T112" s="137">
        <v>0.1</v>
      </c>
      <c r="U112" s="137">
        <v>0.1</v>
      </c>
      <c r="V112" s="137">
        <v>0.1</v>
      </c>
      <c r="W112" s="137">
        <v>0.1</v>
      </c>
      <c r="X112" s="137">
        <v>0.1</v>
      </c>
      <c r="Y112" s="137">
        <v>0.1</v>
      </c>
      <c r="Z112" s="137">
        <v>0.1</v>
      </c>
      <c r="AA112" s="137">
        <v>0.1</v>
      </c>
      <c r="AB112" s="137">
        <v>0.1</v>
      </c>
      <c r="AC112" s="137">
        <v>0.1</v>
      </c>
      <c r="AD112" s="127"/>
      <c r="AE112" s="137">
        <v>0.1</v>
      </c>
      <c r="AF112" s="125"/>
      <c r="AG112" s="47"/>
      <c r="AH112" s="76"/>
      <c r="AI112" s="77"/>
      <c r="AJ112" s="90"/>
    </row>
    <row r="113" spans="1:36" ht="15.75" x14ac:dyDescent="0.25">
      <c r="G113" s="75"/>
      <c r="H113" s="38" t="s">
        <v>406</v>
      </c>
      <c r="I113" s="76"/>
      <c r="J113" s="76"/>
      <c r="K113" s="76"/>
      <c r="L113" s="76"/>
      <c r="M113" s="76"/>
      <c r="N113" s="76"/>
      <c r="O113" s="77"/>
      <c r="P113" s="125"/>
      <c r="Q113" s="126"/>
      <c r="R113" s="138">
        <f>R111-R112</f>
        <v>-9.900000000000006E-3</v>
      </c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27"/>
      <c r="AE113" s="125"/>
      <c r="AF113" s="125"/>
      <c r="AG113" s="47"/>
      <c r="AH113" s="76"/>
      <c r="AI113" s="77"/>
      <c r="AJ113" s="90"/>
    </row>
    <row r="114" spans="1:36" ht="15.75" x14ac:dyDescent="0.25">
      <c r="Q114" s="132"/>
      <c r="R114" s="130"/>
      <c r="S114" s="130"/>
      <c r="T114" s="130"/>
      <c r="U114" s="133"/>
      <c r="V114" s="133"/>
      <c r="W114" s="133"/>
      <c r="X114" s="130"/>
      <c r="Y114" s="130"/>
      <c r="Z114" s="130"/>
      <c r="AA114" s="130"/>
      <c r="AB114" s="130"/>
      <c r="AC114" s="130"/>
      <c r="AD114" s="127"/>
      <c r="AE114" s="130"/>
      <c r="AF114" s="130"/>
      <c r="AG114" s="47"/>
    </row>
    <row r="115" spans="1:36" ht="15.75" x14ac:dyDescent="0.25">
      <c r="H115" s="38" t="s">
        <v>413</v>
      </c>
      <c r="Q115" s="132"/>
      <c r="R115" s="140">
        <v>257087</v>
      </c>
      <c r="S115" s="190"/>
      <c r="T115" s="191"/>
      <c r="U115" s="131"/>
      <c r="V115" s="133"/>
      <c r="W115" s="133"/>
      <c r="X115" s="130"/>
      <c r="Y115" s="130"/>
      <c r="Z115" s="130"/>
      <c r="AA115" s="130"/>
      <c r="AB115" s="130"/>
      <c r="AC115" s="130"/>
      <c r="AD115" s="127"/>
      <c r="AE115" s="130"/>
      <c r="AF115" s="130"/>
      <c r="AG115" s="47"/>
    </row>
    <row r="116" spans="1:36" ht="15.75" x14ac:dyDescent="0.25">
      <c r="H116" s="38" t="s">
        <v>414</v>
      </c>
      <c r="Q116" s="132"/>
      <c r="R116" s="131">
        <v>275000</v>
      </c>
      <c r="S116" s="131">
        <v>275000</v>
      </c>
      <c r="T116" s="131">
        <v>275000</v>
      </c>
      <c r="U116" s="131">
        <v>293000</v>
      </c>
      <c r="V116" s="131">
        <v>293000</v>
      </c>
      <c r="W116" s="131">
        <v>293000</v>
      </c>
      <c r="X116" s="131">
        <v>300000</v>
      </c>
      <c r="Y116" s="131">
        <v>300000</v>
      </c>
      <c r="Z116" s="131">
        <v>300000</v>
      </c>
      <c r="AA116" s="131">
        <v>300000</v>
      </c>
      <c r="AB116" s="131">
        <v>300000</v>
      </c>
      <c r="AC116" s="131">
        <v>300000</v>
      </c>
      <c r="AD116" s="127"/>
      <c r="AE116" s="131">
        <v>300000</v>
      </c>
      <c r="AF116" s="130"/>
      <c r="AG116" s="47"/>
    </row>
    <row r="117" spans="1:36" ht="15.75" x14ac:dyDescent="0.25">
      <c r="G117" s="75"/>
      <c r="H117" s="38" t="s">
        <v>406</v>
      </c>
      <c r="I117" s="76"/>
      <c r="J117" s="76"/>
      <c r="K117" s="76"/>
      <c r="L117" s="76"/>
      <c r="M117" s="76"/>
      <c r="N117" s="76"/>
      <c r="O117" s="77"/>
      <c r="P117" s="125"/>
      <c r="Q117" s="126"/>
      <c r="R117" s="128">
        <f>R116-R115</f>
        <v>17913</v>
      </c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7"/>
      <c r="AE117" s="125"/>
      <c r="AF117" s="125"/>
      <c r="AG117" s="47"/>
      <c r="AH117" s="76"/>
      <c r="AI117" s="77"/>
      <c r="AJ117" s="90"/>
    </row>
    <row r="118" spans="1:36" ht="15.75" x14ac:dyDescent="0.25">
      <c r="Q118" s="132"/>
      <c r="R118" s="131"/>
      <c r="S118" s="134"/>
      <c r="T118" s="135"/>
      <c r="U118" s="131"/>
      <c r="V118" s="133"/>
      <c r="W118" s="133"/>
      <c r="X118" s="130"/>
      <c r="Y118" s="130"/>
      <c r="Z118" s="130"/>
      <c r="AA118" s="130"/>
      <c r="AB118" s="130"/>
      <c r="AC118" s="130"/>
      <c r="AD118" s="127"/>
      <c r="AE118" s="130"/>
      <c r="AF118" s="130"/>
      <c r="AG118" s="47"/>
    </row>
    <row r="119" spans="1:36" s="78" customFormat="1" ht="15.75" x14ac:dyDescent="0.25">
      <c r="A119"/>
      <c r="B119"/>
      <c r="C119" s="74"/>
      <c r="D119" s="74"/>
      <c r="E119" s="74"/>
      <c r="F119" s="74"/>
      <c r="G119" s="74"/>
      <c r="H119" s="38"/>
      <c r="O119" s="79"/>
      <c r="P119" s="130"/>
      <c r="Q119" s="132"/>
      <c r="R119" s="131"/>
      <c r="S119" s="134"/>
      <c r="T119" s="135"/>
      <c r="U119" s="131"/>
      <c r="V119" s="133"/>
      <c r="W119" s="133"/>
      <c r="X119" s="130"/>
      <c r="Y119" s="130"/>
      <c r="Z119" s="130"/>
      <c r="AA119" s="130"/>
      <c r="AB119" s="130"/>
      <c r="AC119" s="130"/>
      <c r="AD119" s="127"/>
      <c r="AE119" s="130"/>
      <c r="AF119" s="130"/>
      <c r="AG119" s="47"/>
      <c r="AI119" s="79"/>
      <c r="AJ119"/>
    </row>
    <row r="120" spans="1:36" s="78" customFormat="1" ht="15.75" x14ac:dyDescent="0.25">
      <c r="A120"/>
      <c r="B120"/>
      <c r="C120" s="74"/>
      <c r="D120" s="74"/>
      <c r="E120" s="74"/>
      <c r="F120" s="74"/>
      <c r="G120" s="74"/>
      <c r="H120" s="38" t="s">
        <v>415</v>
      </c>
      <c r="O120" s="79"/>
      <c r="P120" s="130"/>
      <c r="Q120" s="132"/>
      <c r="R120" s="140">
        <f>R107-R115</f>
        <v>4127</v>
      </c>
      <c r="S120" s="190"/>
      <c r="T120" s="191"/>
      <c r="U120" s="131"/>
      <c r="V120" s="133"/>
      <c r="W120" s="133"/>
      <c r="X120" s="130"/>
      <c r="Y120" s="130"/>
      <c r="Z120" s="130"/>
      <c r="AA120" s="130"/>
      <c r="AB120" s="130"/>
      <c r="AC120" s="130"/>
      <c r="AD120" s="127"/>
      <c r="AE120" s="130"/>
      <c r="AF120" s="130"/>
      <c r="AG120" s="47"/>
      <c r="AI120" s="79"/>
      <c r="AJ120"/>
    </row>
    <row r="121" spans="1:36" s="78" customFormat="1" ht="15.75" x14ac:dyDescent="0.25">
      <c r="A121"/>
      <c r="B121"/>
      <c r="C121" s="74"/>
      <c r="D121" s="74"/>
      <c r="E121" s="74"/>
      <c r="F121" s="74"/>
      <c r="G121" s="74"/>
      <c r="H121" s="38" t="s">
        <v>416</v>
      </c>
      <c r="O121" s="79"/>
      <c r="P121" s="130"/>
      <c r="Q121" s="132"/>
      <c r="R121" s="131">
        <f>R108*0.1</f>
        <v>24539.487342857145</v>
      </c>
      <c r="S121" s="131">
        <f>S108*0.1</f>
        <v>28123.852117857146</v>
      </c>
      <c r="T121" s="131">
        <f>T108*0.1</f>
        <v>35153.603477857148</v>
      </c>
      <c r="U121" s="131">
        <f>U108*0.1</f>
        <v>37877.609327857142</v>
      </c>
      <c r="V121" s="131">
        <f t="shared" ref="V121:AB121" si="25">V108*0.1</f>
        <v>44460.099457857141</v>
      </c>
      <c r="W121" s="131">
        <f>W108*0.1</f>
        <v>48899.89441785714</v>
      </c>
      <c r="X121" s="131">
        <f t="shared" si="25"/>
        <v>46609.959717857135</v>
      </c>
      <c r="Y121" s="131">
        <f t="shared" si="25"/>
        <v>48031.886800000007</v>
      </c>
      <c r="Z121" s="131">
        <f t="shared" si="25"/>
        <v>47006.840430000004</v>
      </c>
      <c r="AA121" s="131">
        <f t="shared" si="25"/>
        <v>54142.156279999996</v>
      </c>
      <c r="AB121" s="131">
        <f t="shared" si="25"/>
        <v>48250.101940000008</v>
      </c>
      <c r="AC121" s="131">
        <f>AC108*0.1+2995</f>
        <v>36904.511950000007</v>
      </c>
      <c r="AD121" s="127"/>
      <c r="AE121" s="130">
        <f>SUM(R121:AC121)</f>
        <v>500000.00326000003</v>
      </c>
      <c r="AF121" s="130"/>
      <c r="AG121" s="47"/>
      <c r="AI121" s="79"/>
      <c r="AJ121"/>
    </row>
    <row r="122" spans="1:36" ht="15.75" x14ac:dyDescent="0.25">
      <c r="G122" s="75"/>
      <c r="H122" s="38" t="s">
        <v>406</v>
      </c>
      <c r="I122" s="76"/>
      <c r="J122" s="76"/>
      <c r="K122" s="76"/>
      <c r="L122" s="76"/>
      <c r="M122" s="76"/>
      <c r="N122" s="76"/>
      <c r="O122" s="77"/>
      <c r="P122" s="125"/>
      <c r="Q122" s="126"/>
      <c r="R122" s="128">
        <f>R120-R121</f>
        <v>-20412.487342857145</v>
      </c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7"/>
      <c r="AE122" s="125"/>
      <c r="AF122" s="125"/>
      <c r="AG122" s="47"/>
      <c r="AH122" s="76"/>
      <c r="AI122" s="77"/>
      <c r="AJ122" s="90"/>
    </row>
    <row r="123" spans="1:36" s="78" customFormat="1" ht="15.75" x14ac:dyDescent="0.25">
      <c r="A123"/>
      <c r="B123"/>
      <c r="C123" s="74"/>
      <c r="D123" s="74"/>
      <c r="E123" s="74"/>
      <c r="F123" s="74"/>
      <c r="G123" s="74"/>
      <c r="H123" s="38"/>
      <c r="O123" s="79"/>
      <c r="P123" s="130"/>
      <c r="Q123" s="132"/>
      <c r="R123" s="131"/>
      <c r="S123" s="134"/>
      <c r="T123" s="135"/>
      <c r="U123" s="131"/>
      <c r="V123" s="133"/>
      <c r="W123" s="133"/>
      <c r="X123" s="130"/>
      <c r="Y123" s="130"/>
      <c r="Z123" s="130"/>
      <c r="AA123" s="130"/>
      <c r="AB123" s="130"/>
      <c r="AC123" s="130"/>
      <c r="AD123" s="132"/>
      <c r="AE123" s="130"/>
      <c r="AF123" s="130"/>
      <c r="AG123" s="47"/>
      <c r="AI123" s="79"/>
      <c r="AJ123"/>
    </row>
    <row r="124" spans="1:36" s="78" customFormat="1" ht="15.75" x14ac:dyDescent="0.25">
      <c r="A124"/>
      <c r="B124"/>
      <c r="C124" s="74"/>
      <c r="D124" s="74"/>
      <c r="E124" s="74"/>
      <c r="F124" s="74"/>
      <c r="G124" s="74"/>
      <c r="H124" s="38"/>
      <c r="O124" s="79"/>
      <c r="P124" s="130"/>
      <c r="Q124" s="79"/>
      <c r="R124" s="80"/>
      <c r="S124" s="3"/>
      <c r="T124" s="8"/>
      <c r="U124" s="80"/>
      <c r="V124" s="81"/>
      <c r="W124" s="81"/>
      <c r="AD124" s="79"/>
      <c r="AG124" s="47"/>
      <c r="AI124" s="79"/>
      <c r="AJ124"/>
    </row>
    <row r="125" spans="1:36" s="78" customFormat="1" ht="15.75" x14ac:dyDescent="0.25">
      <c r="A125"/>
      <c r="B125"/>
      <c r="C125" s="74"/>
      <c r="D125" s="74"/>
      <c r="E125" s="74"/>
      <c r="F125" s="74"/>
      <c r="G125" s="74"/>
      <c r="H125" s="38"/>
      <c r="O125" s="79"/>
      <c r="P125" s="130"/>
      <c r="Q125" s="79"/>
      <c r="R125" s="80"/>
      <c r="S125" s="3"/>
      <c r="T125" s="8"/>
      <c r="U125" s="80"/>
      <c r="V125" s="81"/>
      <c r="W125" s="81"/>
      <c r="AD125" s="79"/>
      <c r="AG125" s="47"/>
      <c r="AI125" s="79"/>
      <c r="AJ125"/>
    </row>
    <row r="126" spans="1:36" s="78" customFormat="1" ht="15.75" x14ac:dyDescent="0.25">
      <c r="A126"/>
      <c r="B126"/>
      <c r="C126" s="74"/>
      <c r="D126" s="74"/>
      <c r="E126" s="74"/>
      <c r="F126" s="74"/>
      <c r="G126" s="74"/>
      <c r="H126" s="38"/>
      <c r="O126" s="79"/>
      <c r="P126" s="130"/>
      <c r="Q126" s="79"/>
      <c r="R126" s="80"/>
      <c r="S126" s="3"/>
      <c r="T126" s="8"/>
      <c r="U126" s="80"/>
      <c r="V126" s="81"/>
      <c r="W126" s="81"/>
      <c r="AD126" s="79"/>
      <c r="AG126" s="47"/>
      <c r="AI126" s="79"/>
      <c r="AJ126"/>
    </row>
    <row r="127" spans="1:36" s="78" customFormat="1" ht="15.75" x14ac:dyDescent="0.25">
      <c r="A127"/>
      <c r="B127"/>
      <c r="C127" s="74"/>
      <c r="D127" s="74"/>
      <c r="E127" s="74"/>
      <c r="F127" s="74"/>
      <c r="G127" s="74"/>
      <c r="H127" s="38"/>
      <c r="O127" s="79"/>
      <c r="P127" s="130"/>
      <c r="Q127" s="79"/>
      <c r="R127" s="80"/>
      <c r="S127" s="3"/>
      <c r="T127" s="8"/>
      <c r="U127" s="80"/>
      <c r="V127" s="81"/>
      <c r="W127" s="81"/>
      <c r="AD127" s="79"/>
      <c r="AG127" s="47"/>
      <c r="AI127" s="79"/>
      <c r="AJ127"/>
    </row>
    <row r="128" spans="1:36" s="78" customFormat="1" ht="15.75" x14ac:dyDescent="0.25">
      <c r="A128"/>
      <c r="B128"/>
      <c r="C128" s="74"/>
      <c r="D128" s="74"/>
      <c r="E128" s="74"/>
      <c r="F128" s="74"/>
      <c r="G128" s="74"/>
      <c r="H128" s="38"/>
      <c r="O128" s="79"/>
      <c r="P128" s="130"/>
      <c r="Q128" s="79"/>
      <c r="R128" s="80"/>
      <c r="S128" s="3"/>
      <c r="T128" s="8"/>
      <c r="U128" s="80"/>
      <c r="V128" s="81"/>
      <c r="W128" s="81"/>
      <c r="AD128" s="79"/>
      <c r="AG128" s="47"/>
      <c r="AI128" s="79"/>
      <c r="AJ128"/>
    </row>
    <row r="129" spans="1:36" s="78" customFormat="1" ht="15.75" x14ac:dyDescent="0.25">
      <c r="A129"/>
      <c r="B129"/>
      <c r="C129" s="74"/>
      <c r="D129" s="74"/>
      <c r="E129" s="74"/>
      <c r="F129" s="74"/>
      <c r="G129" s="74"/>
      <c r="H129" s="38"/>
      <c r="O129" s="79"/>
      <c r="P129" s="130"/>
      <c r="Q129" s="79"/>
      <c r="R129" s="80"/>
      <c r="S129" s="3"/>
      <c r="T129" s="8"/>
      <c r="U129" s="80"/>
      <c r="V129" s="81"/>
      <c r="W129" s="81"/>
      <c r="AD129" s="79"/>
      <c r="AG129" s="79"/>
      <c r="AI129" s="79"/>
      <c r="AJ129"/>
    </row>
    <row r="130" spans="1:36" s="78" customFormat="1" x14ac:dyDescent="0.25">
      <c r="A130"/>
      <c r="B130"/>
      <c r="C130" s="74"/>
      <c r="D130" s="74"/>
      <c r="E130" s="74"/>
      <c r="F130" s="74"/>
      <c r="G130" s="74"/>
      <c r="H130" s="38"/>
      <c r="O130" s="79"/>
      <c r="P130" s="130"/>
      <c r="Q130" s="79"/>
      <c r="R130" s="80"/>
      <c r="S130" s="80"/>
      <c r="T130" s="80"/>
      <c r="U130" s="80"/>
      <c r="V130" s="81"/>
      <c r="W130" s="81"/>
      <c r="AD130" s="79"/>
      <c r="AG130" s="79"/>
      <c r="AI130" s="79"/>
      <c r="AJ130"/>
    </row>
  </sheetData>
  <mergeCells count="1">
    <mergeCell ref="R1:AC1"/>
  </mergeCells>
  <conditionalFormatting sqref="AH16:AH18 AH4:AH13 AH20:AH29 AH56 AH99 AH40:AH54 AH59:AH65 AH68:AH97">
    <cfRule type="cellIs" dxfId="2187" priority="89" operator="lessThan">
      <formula>I4</formula>
    </cfRule>
    <cfRule type="cellIs" dxfId="2186" priority="90" operator="greaterThan">
      <formula>I4</formula>
    </cfRule>
    <cfRule type="cellIs" dxfId="2185" priority="91" operator="equal">
      <formula>I4</formula>
    </cfRule>
  </conditionalFormatting>
  <conditionalFormatting sqref="AH31 AH33">
    <cfRule type="cellIs" dxfId="2184" priority="85" operator="greaterThan">
      <formula>$I$31</formula>
    </cfRule>
    <cfRule type="cellIs" dxfId="2183" priority="86" operator="lessThan">
      <formula>$I$31</formula>
    </cfRule>
    <cfRule type="cellIs" dxfId="2182" priority="87" operator="equal">
      <formula>$I$31</formula>
    </cfRule>
    <cfRule type="cellIs" dxfId="2181" priority="88" operator="equal">
      <formula>$P$31</formula>
    </cfRule>
  </conditionalFormatting>
  <conditionalFormatting sqref="E38 E114:E116 E118:E121 E123:E1048576 E1:E20 E40:E42 E44:E56 E22:E34 E59:E108">
    <cfRule type="cellIs" dxfId="2180" priority="83" operator="equal">
      <formula>"no"</formula>
    </cfRule>
    <cfRule type="cellIs" dxfId="2179" priority="84" operator="equal">
      <formula>"yes"</formula>
    </cfRule>
  </conditionalFormatting>
  <conditionalFormatting sqref="E21">
    <cfRule type="cellIs" dxfId="2178" priority="81" operator="equal">
      <formula>"no"</formula>
    </cfRule>
    <cfRule type="cellIs" dxfId="2177" priority="82" operator="equal">
      <formula>"yes"</formula>
    </cfRule>
  </conditionalFormatting>
  <conditionalFormatting sqref="E43">
    <cfRule type="cellIs" dxfId="2176" priority="79" operator="equal">
      <formula>"no"</formula>
    </cfRule>
    <cfRule type="cellIs" dxfId="2175" priority="80" operator="equal">
      <formula>"yes"</formula>
    </cfRule>
  </conditionalFormatting>
  <conditionalFormatting sqref="I4:I12 I56 I40:I53 I31:I33 I59:I77 I82:I96">
    <cfRule type="cellIs" dxfId="2174" priority="78" operator="equal">
      <formula>0</formula>
    </cfRule>
  </conditionalFormatting>
  <conditionalFormatting sqref="I15:I17">
    <cfRule type="cellIs" dxfId="2173" priority="77" operator="equal">
      <formula>0</formula>
    </cfRule>
  </conditionalFormatting>
  <conditionalFormatting sqref="AH15">
    <cfRule type="cellIs" dxfId="2172" priority="74" operator="lessThan">
      <formula>I15</formula>
    </cfRule>
    <cfRule type="cellIs" dxfId="2171" priority="75" operator="greaterThan">
      <formula>I15</formula>
    </cfRule>
    <cfRule type="cellIs" dxfId="2170" priority="76" operator="equal">
      <formula>I15</formula>
    </cfRule>
  </conditionalFormatting>
  <conditionalFormatting sqref="AH36">
    <cfRule type="cellIs" dxfId="2169" priority="71" operator="lessThan">
      <formula>I36</formula>
    </cfRule>
    <cfRule type="cellIs" dxfId="2168" priority="72" operator="greaterThan">
      <formula>I36</formula>
    </cfRule>
    <cfRule type="cellIs" dxfId="2167" priority="73" operator="equal">
      <formula>I36</formula>
    </cfRule>
  </conditionalFormatting>
  <conditionalFormatting sqref="E35:E36">
    <cfRule type="cellIs" dxfId="2166" priority="69" operator="equal">
      <formula>"no"</formula>
    </cfRule>
    <cfRule type="cellIs" dxfId="2165" priority="70" operator="equal">
      <formula>"yes"</formula>
    </cfRule>
  </conditionalFormatting>
  <conditionalFormatting sqref="AH37">
    <cfRule type="cellIs" dxfId="2164" priority="66" operator="lessThan">
      <formula>I37</formula>
    </cfRule>
    <cfRule type="cellIs" dxfId="2163" priority="67" operator="greaterThan">
      <formula>I37</formula>
    </cfRule>
    <cfRule type="cellIs" dxfId="2162" priority="68" operator="equal">
      <formula>I37</formula>
    </cfRule>
  </conditionalFormatting>
  <conditionalFormatting sqref="E37">
    <cfRule type="cellIs" dxfId="2161" priority="64" operator="equal">
      <formula>"no"</formula>
    </cfRule>
    <cfRule type="cellIs" dxfId="2160" priority="65" operator="equal">
      <formula>"yes"</formula>
    </cfRule>
  </conditionalFormatting>
  <conditionalFormatting sqref="D114:D116 D118:D121 D123:D1048576 D40:D56 D1:D38 D59:D108">
    <cfRule type="cellIs" dxfId="2159" priority="63" operator="equal">
      <formula>"TBD"</formula>
    </cfRule>
  </conditionalFormatting>
  <conditionalFormatting sqref="R101:AC101">
    <cfRule type="cellIs" dxfId="2158" priority="40" operator="equal">
      <formula>0</formula>
    </cfRule>
    <cfRule type="cellIs" dxfId="2157" priority="61" operator="lessThan">
      <formula>0</formula>
    </cfRule>
    <cfRule type="cellIs" dxfId="2156" priority="62" operator="greaterThan">
      <formula>0</formula>
    </cfRule>
  </conditionalFormatting>
  <conditionalFormatting sqref="E109:E113">
    <cfRule type="cellIs" dxfId="2155" priority="59" operator="equal">
      <formula>"no"</formula>
    </cfRule>
    <cfRule type="cellIs" dxfId="2154" priority="60" operator="equal">
      <formula>"yes"</formula>
    </cfRule>
  </conditionalFormatting>
  <conditionalFormatting sqref="D109:D113">
    <cfRule type="cellIs" dxfId="2153" priority="58" operator="equal">
      <formula>"TBD"</formula>
    </cfRule>
  </conditionalFormatting>
  <conditionalFormatting sqref="R109:AC110">
    <cfRule type="cellIs" dxfId="2152" priority="56" operator="lessThan">
      <formula>0</formula>
    </cfRule>
    <cfRule type="cellIs" dxfId="2151" priority="57" operator="greaterThan">
      <formula>0</formula>
    </cfRule>
  </conditionalFormatting>
  <conditionalFormatting sqref="E117">
    <cfRule type="cellIs" dxfId="2150" priority="54" operator="equal">
      <formula>"no"</formula>
    </cfRule>
    <cfRule type="cellIs" dxfId="2149" priority="55" operator="equal">
      <formula>"yes"</formula>
    </cfRule>
  </conditionalFormatting>
  <conditionalFormatting sqref="D117">
    <cfRule type="cellIs" dxfId="2148" priority="53" operator="equal">
      <formula>"TBD"</formula>
    </cfRule>
  </conditionalFormatting>
  <conditionalFormatting sqref="R117:AC117">
    <cfRule type="cellIs" dxfId="2147" priority="51" operator="lessThan">
      <formula>0</formula>
    </cfRule>
    <cfRule type="cellIs" dxfId="2146" priority="52" operator="greaterThan">
      <formula>0</formula>
    </cfRule>
  </conditionalFormatting>
  <conditionalFormatting sqref="E122">
    <cfRule type="cellIs" dxfId="2145" priority="49" operator="equal">
      <formula>"no"</formula>
    </cfRule>
    <cfRule type="cellIs" dxfId="2144" priority="50" operator="equal">
      <formula>"yes"</formula>
    </cfRule>
  </conditionalFormatting>
  <conditionalFormatting sqref="D122">
    <cfRule type="cellIs" dxfId="2143" priority="48" operator="equal">
      <formula>"TBD"</formula>
    </cfRule>
  </conditionalFormatting>
  <conditionalFormatting sqref="R122:AC122">
    <cfRule type="cellIs" dxfId="2142" priority="46" operator="lessThan">
      <formula>0</formula>
    </cfRule>
    <cfRule type="cellIs" dxfId="2141" priority="47" operator="greaterThan">
      <formula>0</formula>
    </cfRule>
  </conditionalFormatting>
  <conditionalFormatting sqref="P101">
    <cfRule type="cellIs" dxfId="2140" priority="44" operator="lessThan">
      <formula>0</formula>
    </cfRule>
    <cfRule type="cellIs" dxfId="2139" priority="45" operator="greaterThan">
      <formula>0</formula>
    </cfRule>
  </conditionalFormatting>
  <conditionalFormatting sqref="R105">
    <cfRule type="cellIs" dxfId="2138" priority="41" operator="equal">
      <formula>0</formula>
    </cfRule>
    <cfRule type="cellIs" dxfId="2137" priority="42" operator="lessThan">
      <formula>0</formula>
    </cfRule>
    <cfRule type="cellIs" dxfId="2136" priority="43" operator="greaterThan">
      <formula>0</formula>
    </cfRule>
  </conditionalFormatting>
  <conditionalFormatting sqref="R113">
    <cfRule type="cellIs" dxfId="2135" priority="37" operator="lessThan">
      <formula>0</formula>
    </cfRule>
    <cfRule type="cellIs" dxfId="2134" priority="38" operator="equal">
      <formula>0</formula>
    </cfRule>
    <cfRule type="cellIs" dxfId="2133" priority="39" operator="greaterThan">
      <formula>0</formula>
    </cfRule>
  </conditionalFormatting>
  <conditionalFormatting sqref="AH39">
    <cfRule type="cellIs" dxfId="2132" priority="34" operator="lessThan">
      <formula>I39</formula>
    </cfRule>
    <cfRule type="cellIs" dxfId="2131" priority="35" operator="greaterThan">
      <formula>I39</formula>
    </cfRule>
    <cfRule type="cellIs" dxfId="2130" priority="36" operator="equal">
      <formula>I39</formula>
    </cfRule>
  </conditionalFormatting>
  <conditionalFormatting sqref="E39">
    <cfRule type="cellIs" dxfId="2129" priority="32" operator="equal">
      <formula>"no"</formula>
    </cfRule>
    <cfRule type="cellIs" dxfId="2128" priority="33" operator="equal">
      <formula>"yes"</formula>
    </cfRule>
  </conditionalFormatting>
  <conditionalFormatting sqref="I39">
    <cfRule type="cellIs" dxfId="2127" priority="31" operator="equal">
      <formula>0</formula>
    </cfRule>
  </conditionalFormatting>
  <conditionalFormatting sqref="D39">
    <cfRule type="cellIs" dxfId="2126" priority="30" operator="equal">
      <formula>"TBD"</formula>
    </cfRule>
  </conditionalFormatting>
  <conditionalFormatting sqref="AH34">
    <cfRule type="cellIs" dxfId="2125" priority="15" operator="lessThan">
      <formula>I34</formula>
    </cfRule>
    <cfRule type="cellIs" dxfId="2124" priority="16" operator="greaterThan">
      <formula>I34</formula>
    </cfRule>
    <cfRule type="cellIs" dxfId="2123" priority="17" operator="equal">
      <formula>I34</formula>
    </cfRule>
  </conditionalFormatting>
  <conditionalFormatting sqref="AH30">
    <cfRule type="cellIs" dxfId="2122" priority="27" operator="lessThan">
      <formula>I30</formula>
    </cfRule>
    <cfRule type="cellIs" dxfId="2121" priority="28" operator="greaterThan">
      <formula>I30</formula>
    </cfRule>
    <cfRule type="cellIs" dxfId="2120" priority="29" operator="equal">
      <formula>I30</formula>
    </cfRule>
  </conditionalFormatting>
  <conditionalFormatting sqref="AH66">
    <cfRule type="cellIs" dxfId="2119" priority="24" operator="lessThan">
      <formula>I66</formula>
    </cfRule>
    <cfRule type="cellIs" dxfId="2118" priority="25" operator="greaterThan">
      <formula>I66</formula>
    </cfRule>
    <cfRule type="cellIs" dxfId="2117" priority="26" operator="equal">
      <formula>I66</formula>
    </cfRule>
  </conditionalFormatting>
  <conditionalFormatting sqref="AH67">
    <cfRule type="cellIs" dxfId="2116" priority="21" operator="lessThan">
      <formula>I67</formula>
    </cfRule>
    <cfRule type="cellIs" dxfId="2115" priority="22" operator="greaterThan">
      <formula>I67</formula>
    </cfRule>
    <cfRule type="cellIs" dxfId="2114" priority="23" operator="equal">
      <formula>I67</formula>
    </cfRule>
  </conditionalFormatting>
  <conditionalFormatting sqref="AH32">
    <cfRule type="cellIs" dxfId="2113" priority="18" operator="lessThan">
      <formula>I32</formula>
    </cfRule>
    <cfRule type="cellIs" dxfId="2112" priority="19" operator="greaterThan">
      <formula>I32</formula>
    </cfRule>
    <cfRule type="cellIs" dxfId="2111" priority="20" operator="equal">
      <formula>I32</formula>
    </cfRule>
  </conditionalFormatting>
  <conditionalFormatting sqref="AH58">
    <cfRule type="cellIs" dxfId="2110" priority="12" operator="lessThan">
      <formula>I58</formula>
    </cfRule>
    <cfRule type="cellIs" dxfId="2109" priority="13" operator="greaterThan">
      <formula>I58</formula>
    </cfRule>
    <cfRule type="cellIs" dxfId="2108" priority="14" operator="equal">
      <formula>I58</formula>
    </cfRule>
  </conditionalFormatting>
  <conditionalFormatting sqref="E58">
    <cfRule type="cellIs" dxfId="2107" priority="10" operator="equal">
      <formula>"no"</formula>
    </cfRule>
    <cfRule type="cellIs" dxfId="2106" priority="11" operator="equal">
      <formula>"yes"</formula>
    </cfRule>
  </conditionalFormatting>
  <conditionalFormatting sqref="I58">
    <cfRule type="cellIs" dxfId="2105" priority="9" operator="equal">
      <formula>0</formula>
    </cfRule>
  </conditionalFormatting>
  <conditionalFormatting sqref="D58">
    <cfRule type="cellIs" dxfId="2104" priority="8" operator="equal">
      <formula>"TBD"</formula>
    </cfRule>
  </conditionalFormatting>
  <conditionalFormatting sqref="AH57">
    <cfRule type="cellIs" dxfId="2103" priority="5" operator="lessThan">
      <formula>I57</formula>
    </cfRule>
    <cfRule type="cellIs" dxfId="2102" priority="6" operator="greaterThan">
      <formula>I57</formula>
    </cfRule>
    <cfRule type="cellIs" dxfId="2101" priority="7" operator="equal">
      <formula>I57</formula>
    </cfRule>
  </conditionalFormatting>
  <conditionalFormatting sqref="E57">
    <cfRule type="cellIs" dxfId="2100" priority="3" operator="equal">
      <formula>"no"</formula>
    </cfRule>
    <cfRule type="cellIs" dxfId="2099" priority="4" operator="equal">
      <formula>"yes"</formula>
    </cfRule>
  </conditionalFormatting>
  <conditionalFormatting sqref="I57">
    <cfRule type="cellIs" dxfId="2098" priority="2" operator="equal">
      <formula>0</formula>
    </cfRule>
  </conditionalFormatting>
  <conditionalFormatting sqref="D57">
    <cfRule type="cellIs" dxfId="2097" priority="1" operator="equal">
      <formula>"TBD"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74050-1742-42D2-8551-3B92A0CB7ABB}">
  <dimension ref="A1:AK136"/>
  <sheetViews>
    <sheetView zoomScale="70" zoomScaleNormal="70" workbookViewId="0">
      <pane xSplit="2" ySplit="2" topLeftCell="F3" activePane="bottomRight" state="frozen"/>
      <selection pane="topRight" activeCell="B1" sqref="B1"/>
      <selection pane="bottomLeft" activeCell="A3" sqref="A3"/>
      <selection pane="bottomRight" activeCell="R60" sqref="R60"/>
    </sheetView>
  </sheetViews>
  <sheetFormatPr defaultRowHeight="15" x14ac:dyDescent="0.25"/>
  <cols>
    <col min="1" max="1" width="12.42578125" customWidth="1"/>
    <col min="2" max="2" width="43.5703125" bestFit="1" customWidth="1"/>
    <col min="3" max="3" width="5.5703125" style="74" customWidth="1"/>
    <col min="4" max="5" width="11.5703125" style="74" customWidth="1"/>
    <col min="6" max="6" width="13.5703125" style="74" customWidth="1"/>
    <col min="7" max="7" width="12.5703125" style="74" customWidth="1"/>
    <col min="8" max="8" width="14.5703125" style="38" customWidth="1"/>
    <col min="9" max="9" width="18.5703125" style="78" customWidth="1"/>
    <col min="10" max="14" width="15.5703125" style="78" hidden="1" customWidth="1"/>
    <col min="15" max="15" width="4" style="79" customWidth="1"/>
    <col min="16" max="16" width="17.42578125" style="130" bestFit="1" customWidth="1"/>
    <col min="17" max="17" width="3.42578125" style="79" customWidth="1"/>
    <col min="18" max="20" width="19.5703125" style="78" customWidth="1"/>
    <col min="21" max="23" width="19.5703125" style="81" customWidth="1"/>
    <col min="24" max="26" width="19.5703125" style="78" customWidth="1"/>
    <col min="27" max="29" width="19.5703125" style="78" hidden="1" customWidth="1"/>
    <col min="30" max="30" width="4" style="79" customWidth="1"/>
    <col min="31" max="31" width="18.42578125" style="78" customWidth="1"/>
    <col min="32" max="32" width="16.5703125" style="78" customWidth="1"/>
    <col min="33" max="33" width="3.42578125" style="79" customWidth="1"/>
    <col min="34" max="34" width="17.42578125" style="78" customWidth="1"/>
    <col min="35" max="35" width="3.42578125" style="79" customWidth="1"/>
    <col min="36" max="36" width="17.5703125" customWidth="1"/>
    <col min="37" max="37" width="8.5703125" customWidth="1"/>
  </cols>
  <sheetData>
    <row r="1" spans="1:36" s="36" customFormat="1" x14ac:dyDescent="0.25">
      <c r="C1" s="37"/>
      <c r="D1" s="37"/>
      <c r="E1" s="37"/>
      <c r="F1" s="37"/>
      <c r="G1" s="37"/>
      <c r="H1" s="38"/>
      <c r="I1" s="39"/>
      <c r="J1" s="39"/>
      <c r="K1" s="39"/>
      <c r="L1" s="39"/>
      <c r="M1" s="39"/>
      <c r="N1" s="39"/>
      <c r="O1" s="40"/>
      <c r="P1" s="188">
        <v>2020</v>
      </c>
      <c r="Q1" s="42"/>
      <c r="R1" s="526">
        <v>2021</v>
      </c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8"/>
      <c r="AD1" s="40"/>
      <c r="AE1" s="41">
        <v>2022</v>
      </c>
      <c r="AF1" s="43">
        <v>2023</v>
      </c>
      <c r="AG1" s="42"/>
      <c r="AH1" s="41"/>
      <c r="AI1" s="42"/>
    </row>
    <row r="2" spans="1:36" s="36" customFormat="1" ht="31.5" x14ac:dyDescent="0.25">
      <c r="A2" s="62"/>
      <c r="B2" s="63"/>
      <c r="C2" s="44" t="s">
        <v>342</v>
      </c>
      <c r="D2" s="44" t="s">
        <v>343</v>
      </c>
      <c r="E2" s="44" t="s">
        <v>344</v>
      </c>
      <c r="F2" s="44" t="s">
        <v>345</v>
      </c>
      <c r="G2" s="44" t="s">
        <v>346</v>
      </c>
      <c r="H2" s="45" t="s">
        <v>347</v>
      </c>
      <c r="I2" s="46" t="s">
        <v>348</v>
      </c>
      <c r="J2" s="46" t="s">
        <v>349</v>
      </c>
      <c r="K2" s="82" t="s">
        <v>350</v>
      </c>
      <c r="L2" s="82" t="s">
        <v>351</v>
      </c>
      <c r="M2" s="82" t="s">
        <v>350</v>
      </c>
      <c r="N2" s="82"/>
      <c r="O2" s="47"/>
      <c r="P2" s="129" t="s">
        <v>352</v>
      </c>
      <c r="Q2" s="47"/>
      <c r="R2" s="46" t="s">
        <v>353</v>
      </c>
      <c r="S2" s="46" t="s">
        <v>354</v>
      </c>
      <c r="T2" s="46" t="s">
        <v>355</v>
      </c>
      <c r="U2" s="48" t="s">
        <v>356</v>
      </c>
      <c r="V2" s="48" t="s">
        <v>357</v>
      </c>
      <c r="W2" s="46" t="s">
        <v>358</v>
      </c>
      <c r="X2" s="46" t="s">
        <v>359</v>
      </c>
      <c r="Y2" s="48" t="s">
        <v>360</v>
      </c>
      <c r="Z2" s="46" t="s">
        <v>361</v>
      </c>
      <c r="AA2" s="46" t="s">
        <v>362</v>
      </c>
      <c r="AB2" s="48" t="s">
        <v>363</v>
      </c>
      <c r="AC2" s="46" t="s">
        <v>364</v>
      </c>
      <c r="AD2" s="47"/>
      <c r="AE2" s="46" t="s">
        <v>352</v>
      </c>
      <c r="AF2" s="48" t="s">
        <v>352</v>
      </c>
      <c r="AG2" s="47"/>
      <c r="AH2" s="46" t="s">
        <v>365</v>
      </c>
      <c r="AI2" s="47"/>
      <c r="AJ2" s="49" t="s">
        <v>366</v>
      </c>
    </row>
    <row r="3" spans="1:36" s="36" customFormat="1" ht="15.75" x14ac:dyDescent="0.25">
      <c r="A3" s="106" t="s">
        <v>400</v>
      </c>
      <c r="B3" s="107"/>
      <c r="C3" s="101" t="s">
        <v>368</v>
      </c>
      <c r="D3" s="102"/>
      <c r="E3" s="102"/>
      <c r="F3" s="102"/>
      <c r="G3" s="102"/>
      <c r="H3" s="84"/>
      <c r="I3" s="103"/>
      <c r="J3" s="103"/>
      <c r="K3" s="103"/>
      <c r="L3" s="103"/>
      <c r="M3" s="103"/>
      <c r="N3" s="103"/>
      <c r="O3" s="47"/>
      <c r="P3" s="85"/>
      <c r="Q3" s="47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47"/>
      <c r="AE3" s="103"/>
      <c r="AF3" s="103"/>
      <c r="AG3" s="47"/>
      <c r="AH3" s="103"/>
      <c r="AI3" s="51"/>
    </row>
    <row r="4" spans="1:36" s="36" customFormat="1" ht="15.75" x14ac:dyDescent="0.25">
      <c r="A4" s="104" t="s">
        <v>288</v>
      </c>
      <c r="B4" s="105" t="s">
        <v>289</v>
      </c>
      <c r="C4" s="52" t="s">
        <v>368</v>
      </c>
      <c r="D4" s="52" t="s">
        <v>369</v>
      </c>
      <c r="E4" s="52" t="s">
        <v>370</v>
      </c>
      <c r="F4" s="87" t="e">
        <f>#REF!</f>
        <v>#REF!</v>
      </c>
      <c r="G4" s="87" t="e">
        <f>#REF!</f>
        <v>#REF!</v>
      </c>
      <c r="H4" s="88" t="e">
        <f t="shared" ref="H4:H12" si="0">((G4-F4)/7)/4.3</f>
        <v>#REF!</v>
      </c>
      <c r="I4" s="181">
        <v>845876</v>
      </c>
      <c r="J4" s="53"/>
      <c r="K4" s="53"/>
      <c r="L4" s="53"/>
      <c r="M4" s="53"/>
      <c r="N4" s="53"/>
      <c r="O4" s="47"/>
      <c r="P4" s="115">
        <v>628337</v>
      </c>
      <c r="Q4" s="47"/>
      <c r="R4" s="115">
        <v>137155</v>
      </c>
      <c r="S4" s="177">
        <v>19492</v>
      </c>
      <c r="T4" s="115">
        <v>60892</v>
      </c>
      <c r="U4" s="209">
        <v>0</v>
      </c>
      <c r="V4" s="53">
        <v>0</v>
      </c>
      <c r="W4" s="53"/>
      <c r="X4" s="53"/>
      <c r="Y4" s="53"/>
      <c r="Z4" s="53"/>
      <c r="AA4" s="53"/>
      <c r="AB4" s="53"/>
      <c r="AC4" s="53"/>
      <c r="AD4" s="47"/>
      <c r="AE4" s="53"/>
      <c r="AF4" s="53"/>
      <c r="AG4" s="47"/>
      <c r="AH4" s="53">
        <f>SUM(P4:AG4)</f>
        <v>845876</v>
      </c>
      <c r="AI4" s="51"/>
      <c r="AJ4" s="55">
        <f>I4-AH4</f>
        <v>0</v>
      </c>
    </row>
    <row r="5" spans="1:36" s="36" customFormat="1" ht="15.75" x14ac:dyDescent="0.25">
      <c r="A5" s="56" t="s">
        <v>292</v>
      </c>
      <c r="B5" s="57" t="s">
        <v>293</v>
      </c>
      <c r="C5" s="52" t="s">
        <v>368</v>
      </c>
      <c r="D5" s="52" t="s">
        <v>369</v>
      </c>
      <c r="E5" s="52" t="s">
        <v>370</v>
      </c>
      <c r="F5" s="87" t="e">
        <f>#REF!</f>
        <v>#REF!</v>
      </c>
      <c r="G5" s="87" t="e">
        <f>#REF!</f>
        <v>#REF!</v>
      </c>
      <c r="H5" s="88" t="e">
        <f t="shared" si="0"/>
        <v>#REF!</v>
      </c>
      <c r="I5" s="211">
        <v>303150</v>
      </c>
      <c r="J5" s="53"/>
      <c r="K5" s="53"/>
      <c r="L5" s="53"/>
      <c r="M5" s="53"/>
      <c r="N5" s="53"/>
      <c r="O5" s="47"/>
      <c r="P5" s="115">
        <v>162612</v>
      </c>
      <c r="Q5" s="47"/>
      <c r="R5" s="115">
        <v>95646</v>
      </c>
      <c r="S5" s="177">
        <v>33342</v>
      </c>
      <c r="T5" s="115">
        <v>5713</v>
      </c>
      <c r="U5" s="209">
        <v>5836.8</v>
      </c>
      <c r="V5" s="53">
        <v>0</v>
      </c>
      <c r="W5" s="53"/>
      <c r="X5" s="53"/>
      <c r="Y5" s="53"/>
      <c r="Z5" s="53"/>
      <c r="AA5" s="53"/>
      <c r="AB5" s="53"/>
      <c r="AC5" s="53"/>
      <c r="AD5" s="47"/>
      <c r="AE5" s="53"/>
      <c r="AF5" s="53"/>
      <c r="AG5" s="47"/>
      <c r="AH5" s="53">
        <f t="shared" ref="AH5:AH11" si="1">SUM(P5:AG5)</f>
        <v>303149.8</v>
      </c>
      <c r="AI5" s="51"/>
      <c r="AJ5" s="55">
        <f t="shared" ref="AJ5:AJ61" si="2">I5-AH5</f>
        <v>0.20000000001164153</v>
      </c>
    </row>
    <row r="6" spans="1:36" s="36" customFormat="1" ht="15.75" x14ac:dyDescent="0.25">
      <c r="A6" s="56" t="s">
        <v>295</v>
      </c>
      <c r="B6" s="57" t="s">
        <v>296</v>
      </c>
      <c r="C6" s="52" t="s">
        <v>368</v>
      </c>
      <c r="D6" s="52" t="s">
        <v>369</v>
      </c>
      <c r="E6" s="52" t="s">
        <v>370</v>
      </c>
      <c r="F6" s="87" t="e">
        <f>#REF!</f>
        <v>#REF!</v>
      </c>
      <c r="G6" s="87" t="e">
        <f>#REF!</f>
        <v>#REF!</v>
      </c>
      <c r="H6" s="88" t="e">
        <f t="shared" si="0"/>
        <v>#REF!</v>
      </c>
      <c r="I6" s="181">
        <v>222517</v>
      </c>
      <c r="J6" s="53"/>
      <c r="K6" s="53"/>
      <c r="L6" s="53"/>
      <c r="M6" s="53"/>
      <c r="N6" s="53"/>
      <c r="O6" s="47"/>
      <c r="P6" s="115">
        <v>131745</v>
      </c>
      <c r="Q6" s="47"/>
      <c r="R6" s="115">
        <v>62828</v>
      </c>
      <c r="S6" s="177">
        <v>27944</v>
      </c>
      <c r="T6" s="115"/>
      <c r="U6" s="209"/>
      <c r="V6" s="53">
        <v>0</v>
      </c>
      <c r="W6" s="53"/>
      <c r="X6" s="53"/>
      <c r="Y6" s="53"/>
      <c r="Z6" s="53"/>
      <c r="AA6" s="53"/>
      <c r="AB6" s="53"/>
      <c r="AC6" s="53"/>
      <c r="AD6" s="47"/>
      <c r="AE6" s="53"/>
      <c r="AF6" s="53"/>
      <c r="AG6" s="47"/>
      <c r="AH6" s="53">
        <f t="shared" si="1"/>
        <v>222517</v>
      </c>
      <c r="AI6" s="51"/>
      <c r="AJ6" s="55">
        <f t="shared" si="2"/>
        <v>0</v>
      </c>
    </row>
    <row r="7" spans="1:36" s="36" customFormat="1" ht="15.75" x14ac:dyDescent="0.25">
      <c r="A7" s="56" t="s">
        <v>23</v>
      </c>
      <c r="B7" s="57" t="s">
        <v>25</v>
      </c>
      <c r="C7" s="52" t="s">
        <v>368</v>
      </c>
      <c r="D7" s="52" t="s">
        <v>369</v>
      </c>
      <c r="E7" s="52" t="s">
        <v>370</v>
      </c>
      <c r="F7" s="87">
        <v>44144</v>
      </c>
      <c r="G7" s="87">
        <v>44386</v>
      </c>
      <c r="H7" s="88">
        <f t="shared" si="0"/>
        <v>8.0398671096345513</v>
      </c>
      <c r="I7" s="181">
        <v>1207684</v>
      </c>
      <c r="J7" s="53"/>
      <c r="K7" s="53"/>
      <c r="L7" s="53"/>
      <c r="M7" s="53"/>
      <c r="N7" s="53"/>
      <c r="O7" s="47"/>
      <c r="P7" s="115">
        <v>244435</v>
      </c>
      <c r="Q7" s="47"/>
      <c r="R7" s="115">
        <v>181308</v>
      </c>
      <c r="S7" s="115">
        <v>16313</v>
      </c>
      <c r="T7" s="115">
        <v>286477</v>
      </c>
      <c r="U7" s="209">
        <v>175064.87</v>
      </c>
      <c r="V7" s="54">
        <v>173559</v>
      </c>
      <c r="W7" s="54">
        <f>160000-25065</f>
        <v>134935</v>
      </c>
      <c r="X7" s="54">
        <v>9151</v>
      </c>
      <c r="Y7" s="53"/>
      <c r="Z7" s="53"/>
      <c r="AA7" s="53"/>
      <c r="AB7" s="53"/>
      <c r="AC7" s="53"/>
      <c r="AD7" s="47"/>
      <c r="AE7" s="53"/>
      <c r="AF7" s="53"/>
      <c r="AG7" s="47"/>
      <c r="AH7" s="53">
        <f t="shared" si="1"/>
        <v>1221242.8700000001</v>
      </c>
      <c r="AI7" s="51"/>
      <c r="AJ7" s="55">
        <f t="shared" si="2"/>
        <v>-13558.870000000112</v>
      </c>
    </row>
    <row r="8" spans="1:36" s="36" customFormat="1" ht="15.75" x14ac:dyDescent="0.25">
      <c r="A8" s="56" t="s">
        <v>31</v>
      </c>
      <c r="B8" s="57" t="s">
        <v>32</v>
      </c>
      <c r="C8" s="52" t="s">
        <v>368</v>
      </c>
      <c r="D8" s="52" t="s">
        <v>369</v>
      </c>
      <c r="E8" s="52" t="s">
        <v>370</v>
      </c>
      <c r="F8" s="87">
        <v>44144</v>
      </c>
      <c r="G8" s="87">
        <v>44386</v>
      </c>
      <c r="H8" s="88">
        <f t="shared" si="0"/>
        <v>8.0398671096345513</v>
      </c>
      <c r="I8" s="181">
        <v>267573</v>
      </c>
      <c r="J8" s="53"/>
      <c r="K8" s="53"/>
      <c r="L8" s="53"/>
      <c r="M8" s="53"/>
      <c r="N8" s="53"/>
      <c r="O8" s="47"/>
      <c r="P8" s="115">
        <v>46929</v>
      </c>
      <c r="Q8" s="47"/>
      <c r="R8" s="115">
        <v>38525</v>
      </c>
      <c r="S8" s="115"/>
      <c r="T8" s="115">
        <v>45735</v>
      </c>
      <c r="U8" s="209">
        <v>40858.44</v>
      </c>
      <c r="V8" s="54">
        <f>6750+26297</f>
        <v>33047</v>
      </c>
      <c r="W8" s="54">
        <v>40000</v>
      </c>
      <c r="X8" s="54">
        <v>16384</v>
      </c>
      <c r="Y8" s="53"/>
      <c r="Z8" s="53"/>
      <c r="AA8" s="53"/>
      <c r="AB8" s="53"/>
      <c r="AC8" s="53"/>
      <c r="AD8" s="47"/>
      <c r="AE8" s="53"/>
      <c r="AF8" s="53"/>
      <c r="AG8" s="47"/>
      <c r="AH8" s="53">
        <f t="shared" si="1"/>
        <v>261478.44</v>
      </c>
      <c r="AI8" s="51"/>
      <c r="AJ8" s="55">
        <f t="shared" si="2"/>
        <v>6094.5599999999977</v>
      </c>
    </row>
    <row r="9" spans="1:36" s="36" customFormat="1" ht="15.75" x14ac:dyDescent="0.25">
      <c r="A9" s="56" t="s">
        <v>33</v>
      </c>
      <c r="B9" s="57" t="s">
        <v>34</v>
      </c>
      <c r="C9" s="52" t="s">
        <v>368</v>
      </c>
      <c r="D9" s="52" t="s">
        <v>369</v>
      </c>
      <c r="E9" s="52" t="s">
        <v>370</v>
      </c>
      <c r="F9" s="87">
        <v>44144</v>
      </c>
      <c r="G9" s="87">
        <v>44386</v>
      </c>
      <c r="H9" s="88">
        <f t="shared" si="0"/>
        <v>8.0398671096345513</v>
      </c>
      <c r="I9" s="181">
        <v>230170</v>
      </c>
      <c r="J9" s="53"/>
      <c r="K9" s="53"/>
      <c r="L9" s="53"/>
      <c r="M9" s="53"/>
      <c r="N9" s="53"/>
      <c r="O9" s="47"/>
      <c r="P9" s="115">
        <v>34010</v>
      </c>
      <c r="Q9" s="47"/>
      <c r="R9" s="115">
        <v>31345</v>
      </c>
      <c r="S9" s="115"/>
      <c r="T9" s="115">
        <v>42608</v>
      </c>
      <c r="U9" s="209">
        <v>27036.87</v>
      </c>
      <c r="V9" s="54">
        <f>9333+19266</f>
        <v>28599</v>
      </c>
      <c r="W9" s="54">
        <v>35000</v>
      </c>
      <c r="X9" s="54">
        <v>2207</v>
      </c>
      <c r="Y9" s="53"/>
      <c r="Z9" s="53"/>
      <c r="AA9" s="53"/>
      <c r="AB9" s="53"/>
      <c r="AC9" s="53"/>
      <c r="AD9" s="47"/>
      <c r="AE9" s="53"/>
      <c r="AF9" s="53"/>
      <c r="AG9" s="47"/>
      <c r="AH9" s="53">
        <f t="shared" si="1"/>
        <v>200805.87</v>
      </c>
      <c r="AI9" s="51"/>
      <c r="AJ9" s="55">
        <f t="shared" si="2"/>
        <v>29364.130000000005</v>
      </c>
    </row>
    <row r="10" spans="1:36" s="36" customFormat="1" ht="15.75" x14ac:dyDescent="0.25">
      <c r="A10" s="56" t="s">
        <v>35</v>
      </c>
      <c r="B10" s="57" t="s">
        <v>36</v>
      </c>
      <c r="C10" s="52" t="s">
        <v>368</v>
      </c>
      <c r="D10" s="52" t="s">
        <v>401</v>
      </c>
      <c r="E10" s="52" t="s">
        <v>370</v>
      </c>
      <c r="F10" s="87">
        <v>44241</v>
      </c>
      <c r="G10" s="87">
        <v>44439</v>
      </c>
      <c r="H10" s="88">
        <f t="shared" si="0"/>
        <v>6.5780730897009967</v>
      </c>
      <c r="I10" s="181">
        <v>984546</v>
      </c>
      <c r="J10" s="53"/>
      <c r="K10" s="53"/>
      <c r="L10" s="53"/>
      <c r="M10" s="53"/>
      <c r="N10" s="53"/>
      <c r="O10" s="47"/>
      <c r="P10" s="115">
        <v>230830</v>
      </c>
      <c r="Q10" s="47"/>
      <c r="R10" s="115">
        <v>155142</v>
      </c>
      <c r="S10" s="115">
        <v>20934</v>
      </c>
      <c r="T10" s="115">
        <v>247073</v>
      </c>
      <c r="U10" s="209">
        <v>88548.33</v>
      </c>
      <c r="V10" s="54">
        <f>14953+98288</f>
        <v>113241</v>
      </c>
      <c r="W10" s="54">
        <v>84583</v>
      </c>
      <c r="X10" s="54">
        <v>0</v>
      </c>
      <c r="Y10" s="54">
        <v>45984</v>
      </c>
      <c r="Z10" s="53"/>
      <c r="AA10" s="53"/>
      <c r="AB10" s="53"/>
      <c r="AC10" s="53"/>
      <c r="AD10" s="47"/>
      <c r="AE10" s="53"/>
      <c r="AF10" s="53"/>
      <c r="AG10" s="47"/>
      <c r="AH10" s="53">
        <f t="shared" si="1"/>
        <v>986335.33</v>
      </c>
      <c r="AI10" s="51"/>
      <c r="AJ10" s="55">
        <f t="shared" si="2"/>
        <v>-1789.3299999999581</v>
      </c>
    </row>
    <row r="11" spans="1:36" s="36" customFormat="1" ht="15.75" x14ac:dyDescent="0.25">
      <c r="A11" s="34" t="s">
        <v>41</v>
      </c>
      <c r="B11" s="35" t="s">
        <v>42</v>
      </c>
      <c r="C11" s="52" t="s">
        <v>368</v>
      </c>
      <c r="D11" s="52" t="s">
        <v>371</v>
      </c>
      <c r="E11" s="52" t="s">
        <v>370</v>
      </c>
      <c r="F11" s="87">
        <v>44256</v>
      </c>
      <c r="G11" s="87">
        <v>44406</v>
      </c>
      <c r="H11" s="88">
        <f t="shared" si="0"/>
        <v>4.9833887043189371</v>
      </c>
      <c r="I11" s="181">
        <v>723063</v>
      </c>
      <c r="J11" s="53"/>
      <c r="K11" s="53"/>
      <c r="L11" s="53"/>
      <c r="M11" s="53"/>
      <c r="N11" s="53"/>
      <c r="O11" s="47"/>
      <c r="P11" s="115"/>
      <c r="Q11" s="47"/>
      <c r="R11" s="115"/>
      <c r="S11" s="115"/>
      <c r="T11" s="115">
        <v>79004</v>
      </c>
      <c r="U11" s="209">
        <v>201430.48</v>
      </c>
      <c r="V11" s="54">
        <f>30182+141104</f>
        <v>171286</v>
      </c>
      <c r="W11" s="54">
        <v>163063</v>
      </c>
      <c r="X11" s="54">
        <v>200996</v>
      </c>
      <c r="Y11" s="58"/>
      <c r="Z11" s="58"/>
      <c r="AA11" s="58"/>
      <c r="AB11" s="58"/>
      <c r="AC11" s="53"/>
      <c r="AD11" s="47"/>
      <c r="AE11" s="53"/>
      <c r="AF11" s="53"/>
      <c r="AG11" s="47"/>
      <c r="AH11" s="53">
        <f t="shared" si="1"/>
        <v>815779.48</v>
      </c>
      <c r="AI11" s="51"/>
      <c r="AJ11" s="55">
        <f t="shared" si="2"/>
        <v>-92716.479999999981</v>
      </c>
    </row>
    <row r="12" spans="1:36" s="36" customFormat="1" ht="15.75" x14ac:dyDescent="0.25">
      <c r="A12" s="34" t="s">
        <v>47</v>
      </c>
      <c r="B12" s="35" t="s">
        <v>48</v>
      </c>
      <c r="C12" s="52" t="s">
        <v>368</v>
      </c>
      <c r="D12" s="52" t="s">
        <v>401</v>
      </c>
      <c r="E12" s="52" t="s">
        <v>370</v>
      </c>
      <c r="F12" s="87">
        <v>44228</v>
      </c>
      <c r="G12" s="87">
        <v>44286</v>
      </c>
      <c r="H12" s="88">
        <f t="shared" si="0"/>
        <v>1.9269102990033224</v>
      </c>
      <c r="I12" s="181">
        <v>81500</v>
      </c>
      <c r="J12" s="53"/>
      <c r="K12" s="53"/>
      <c r="L12" s="53"/>
      <c r="M12" s="53"/>
      <c r="N12" s="53"/>
      <c r="O12" s="47"/>
      <c r="P12" s="115"/>
      <c r="Q12" s="47"/>
      <c r="R12" s="115"/>
      <c r="S12" s="115"/>
      <c r="T12" s="115">
        <v>81500</v>
      </c>
      <c r="U12" s="209"/>
      <c r="V12" s="54">
        <v>0</v>
      </c>
      <c r="W12" s="58">
        <v>0</v>
      </c>
      <c r="X12" s="53"/>
      <c r="Y12" s="53"/>
      <c r="Z12" s="53"/>
      <c r="AA12" s="53"/>
      <c r="AB12" s="53"/>
      <c r="AC12" s="53"/>
      <c r="AD12" s="47"/>
      <c r="AE12" s="53"/>
      <c r="AF12" s="53"/>
      <c r="AG12" s="47"/>
      <c r="AH12" s="53">
        <f>SUM(P12:AG12)</f>
        <v>81500</v>
      </c>
      <c r="AI12" s="51"/>
      <c r="AJ12" s="55">
        <f t="shared" si="2"/>
        <v>0</v>
      </c>
    </row>
    <row r="13" spans="1:36" s="36" customFormat="1" ht="15.75" x14ac:dyDescent="0.25">
      <c r="A13" s="95"/>
      <c r="B13" s="95"/>
      <c r="C13" s="91"/>
      <c r="D13" s="91"/>
      <c r="E13" s="91"/>
      <c r="F13" s="91"/>
      <c r="G13" s="91"/>
      <c r="H13" s="92"/>
      <c r="I13" s="59">
        <f>SUM(I4:I12)</f>
        <v>4866079</v>
      </c>
      <c r="J13" s="59"/>
      <c r="K13" s="59"/>
      <c r="L13" s="59"/>
      <c r="M13" s="59"/>
      <c r="N13" s="59"/>
      <c r="O13" s="47"/>
      <c r="P13" s="59">
        <f>SUM(P4:P12)</f>
        <v>1478898</v>
      </c>
      <c r="Q13" s="47"/>
      <c r="R13" s="59">
        <f t="shared" ref="R13:AC13" si="3">SUM(R4:R12)</f>
        <v>701949</v>
      </c>
      <c r="S13" s="59">
        <f t="shared" si="3"/>
        <v>118025</v>
      </c>
      <c r="T13" s="59">
        <f t="shared" si="3"/>
        <v>849002</v>
      </c>
      <c r="U13" s="59">
        <f t="shared" si="3"/>
        <v>538775.79</v>
      </c>
      <c r="V13" s="59">
        <f t="shared" si="3"/>
        <v>519732</v>
      </c>
      <c r="W13" s="59">
        <f t="shared" si="3"/>
        <v>457581</v>
      </c>
      <c r="X13" s="59">
        <f t="shared" si="3"/>
        <v>228738</v>
      </c>
      <c r="Y13" s="59">
        <f t="shared" si="3"/>
        <v>45984</v>
      </c>
      <c r="Z13" s="59">
        <f t="shared" si="3"/>
        <v>0</v>
      </c>
      <c r="AA13" s="59">
        <f t="shared" si="3"/>
        <v>0</v>
      </c>
      <c r="AB13" s="59">
        <f t="shared" si="3"/>
        <v>0</v>
      </c>
      <c r="AC13" s="59">
        <f t="shared" si="3"/>
        <v>0</v>
      </c>
      <c r="AD13" s="47"/>
      <c r="AE13" s="59">
        <f>SUM(AE4:AE12)</f>
        <v>0</v>
      </c>
      <c r="AF13" s="59">
        <f>SUM(AF4:AF12)</f>
        <v>0</v>
      </c>
      <c r="AG13" s="47"/>
      <c r="AH13" s="59">
        <f>SUM(P13:AG13)</f>
        <v>4938684.79</v>
      </c>
      <c r="AI13" s="51"/>
      <c r="AJ13" s="55">
        <f t="shared" si="2"/>
        <v>-72605.790000000037</v>
      </c>
    </row>
    <row r="14" spans="1:36" s="36" customFormat="1" ht="15.75" x14ac:dyDescent="0.25">
      <c r="A14" s="106" t="s">
        <v>52</v>
      </c>
      <c r="B14" s="107"/>
      <c r="C14" s="101" t="s">
        <v>373</v>
      </c>
      <c r="D14" s="102"/>
      <c r="E14" s="102"/>
      <c r="F14" s="102"/>
      <c r="G14" s="102"/>
      <c r="H14" s="84"/>
      <c r="I14" s="193"/>
      <c r="J14" s="103"/>
      <c r="K14" s="103"/>
      <c r="L14" s="103"/>
      <c r="M14" s="103"/>
      <c r="N14" s="103"/>
      <c r="O14" s="47"/>
      <c r="P14" s="85"/>
      <c r="Q14" s="47"/>
      <c r="R14" s="103"/>
      <c r="S14" s="103"/>
      <c r="T14" s="103"/>
      <c r="U14" s="103"/>
      <c r="V14" s="103"/>
      <c r="W14" s="103">
        <v>781920</v>
      </c>
      <c r="X14" s="103"/>
      <c r="Y14" s="103"/>
      <c r="Z14" s="103"/>
      <c r="AA14" s="103"/>
      <c r="AB14" s="103"/>
      <c r="AC14" s="103"/>
      <c r="AD14" s="47"/>
      <c r="AE14" s="103"/>
      <c r="AF14" s="103"/>
      <c r="AG14" s="47"/>
      <c r="AH14" s="85"/>
      <c r="AI14" s="51"/>
      <c r="AJ14" s="55">
        <f t="shared" si="2"/>
        <v>0</v>
      </c>
    </row>
    <row r="15" spans="1:36" s="36" customFormat="1" ht="15.75" x14ac:dyDescent="0.25">
      <c r="A15" s="60" t="s">
        <v>49</v>
      </c>
      <c r="B15" s="61" t="s">
        <v>374</v>
      </c>
      <c r="C15" s="52" t="s">
        <v>373</v>
      </c>
      <c r="D15" s="52" t="s">
        <v>375</v>
      </c>
      <c r="E15" s="52" t="s">
        <v>370</v>
      </c>
      <c r="F15" s="87">
        <v>44033</v>
      </c>
      <c r="G15" s="87">
        <v>44371</v>
      </c>
      <c r="H15" s="88">
        <f>((G15-F15)/7)/4.3</f>
        <v>11.22923588039867</v>
      </c>
      <c r="I15" s="181">
        <v>9534114</v>
      </c>
      <c r="J15" s="53">
        <v>8913792</v>
      </c>
      <c r="K15" s="53">
        <f>I15-J15</f>
        <v>620322</v>
      </c>
      <c r="L15" s="53">
        <v>8917546</v>
      </c>
      <c r="M15" s="53">
        <f>I15-L15</f>
        <v>616568</v>
      </c>
      <c r="N15" s="53">
        <f>K15-M15</f>
        <v>3754</v>
      </c>
      <c r="O15" s="47"/>
      <c r="P15" s="115">
        <v>4251267</v>
      </c>
      <c r="Q15" s="47"/>
      <c r="R15" s="115">
        <v>974630</v>
      </c>
      <c r="S15" s="115">
        <v>965506</v>
      </c>
      <c r="T15" s="115">
        <v>726926</v>
      </c>
      <c r="U15" s="208">
        <v>1007479.26</v>
      </c>
      <c r="V15" s="54">
        <f>817564+8822</f>
        <v>826386</v>
      </c>
      <c r="W15" s="54">
        <v>781920</v>
      </c>
      <c r="X15" s="58"/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47"/>
      <c r="AE15" s="53"/>
      <c r="AF15" s="53"/>
      <c r="AG15" s="47"/>
      <c r="AH15" s="53">
        <f>SUM(P15:AG15)</f>
        <v>9534114.2599999998</v>
      </c>
      <c r="AI15" s="51"/>
      <c r="AJ15" s="55">
        <f t="shared" si="2"/>
        <v>-0.25999999977648258</v>
      </c>
    </row>
    <row r="16" spans="1:36" s="36" customFormat="1" ht="15.75" x14ac:dyDescent="0.25">
      <c r="A16" s="34" t="s">
        <v>55</v>
      </c>
      <c r="B16" s="35" t="s">
        <v>376</v>
      </c>
      <c r="C16" s="52" t="s">
        <v>373</v>
      </c>
      <c r="D16" s="52" t="s">
        <v>401</v>
      </c>
      <c r="E16" s="52" t="s">
        <v>370</v>
      </c>
      <c r="F16" s="87">
        <v>44124</v>
      </c>
      <c r="G16" s="87">
        <v>44354</v>
      </c>
      <c r="H16" s="88">
        <f>((G16-F16)/7)/4.3</f>
        <v>7.6411960132890364</v>
      </c>
      <c r="I16" s="181">
        <v>1208821</v>
      </c>
      <c r="J16" s="53">
        <v>1021270</v>
      </c>
      <c r="K16" s="53">
        <f>I16-J16</f>
        <v>187551</v>
      </c>
      <c r="L16" s="53">
        <v>945919</v>
      </c>
      <c r="M16" s="53">
        <f>I16-L16</f>
        <v>262902</v>
      </c>
      <c r="N16" s="53">
        <f>K16-M16</f>
        <v>-75351</v>
      </c>
      <c r="O16" s="47"/>
      <c r="P16" s="115">
        <v>501155</v>
      </c>
      <c r="Q16" s="47"/>
      <c r="R16" s="115">
        <v>186495</v>
      </c>
      <c r="S16" s="115">
        <v>202246</v>
      </c>
      <c r="T16" s="115">
        <v>66602</v>
      </c>
      <c r="U16" s="208">
        <v>48430.03</v>
      </c>
      <c r="V16" s="187">
        <f>91616+56138.5</f>
        <v>147754.5</v>
      </c>
      <c r="W16" s="53">
        <v>56138.5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47"/>
      <c r="AE16" s="53"/>
      <c r="AF16" s="53"/>
      <c r="AG16" s="47"/>
      <c r="AH16" s="53">
        <f>SUM(P16:AG16)</f>
        <v>1208821.03</v>
      </c>
      <c r="AI16" s="51"/>
      <c r="AJ16" s="55">
        <f t="shared" si="2"/>
        <v>-3.0000000027939677E-2</v>
      </c>
    </row>
    <row r="17" spans="1:36" s="36" customFormat="1" ht="15.75" x14ac:dyDescent="0.25">
      <c r="A17" s="34" t="s">
        <v>60</v>
      </c>
      <c r="B17" s="35" t="s">
        <v>377</v>
      </c>
      <c r="C17" s="52" t="s">
        <v>373</v>
      </c>
      <c r="D17" s="52" t="s">
        <v>378</v>
      </c>
      <c r="E17" s="52" t="s">
        <v>370</v>
      </c>
      <c r="F17" s="87">
        <v>44119</v>
      </c>
      <c r="G17" s="87">
        <v>44546</v>
      </c>
      <c r="H17" s="88">
        <f>((G17-F17)/7)/4.3</f>
        <v>14.186046511627907</v>
      </c>
      <c r="I17" s="181">
        <v>13107911</v>
      </c>
      <c r="J17" s="53">
        <v>12555112</v>
      </c>
      <c r="K17" s="53">
        <f>I17-J17</f>
        <v>552799</v>
      </c>
      <c r="L17" s="53">
        <v>12611053</v>
      </c>
      <c r="M17" s="53">
        <f>I17-L17</f>
        <v>496858</v>
      </c>
      <c r="N17" s="53">
        <f>K17-M17</f>
        <v>55941</v>
      </c>
      <c r="O17" s="47"/>
      <c r="P17" s="115">
        <v>802663</v>
      </c>
      <c r="Q17" s="47"/>
      <c r="R17" s="115">
        <v>1051823</v>
      </c>
      <c r="S17" s="115">
        <v>822272</v>
      </c>
      <c r="T17" s="115">
        <v>1170091</v>
      </c>
      <c r="U17" s="208">
        <v>1068761.19</v>
      </c>
      <c r="V17" s="54">
        <f>1400000+115619.5</f>
        <v>1515619.5</v>
      </c>
      <c r="W17" s="54">
        <f>1450000+115619.5</f>
        <v>1565619.5</v>
      </c>
      <c r="X17" s="54">
        <v>1379154</v>
      </c>
      <c r="Y17" s="54">
        <v>1270563</v>
      </c>
      <c r="Z17" s="54">
        <v>843964</v>
      </c>
      <c r="AA17" s="54">
        <v>843964</v>
      </c>
      <c r="AB17" s="54">
        <v>520154</v>
      </c>
      <c r="AC17" s="54">
        <v>253263</v>
      </c>
      <c r="AD17" s="47"/>
      <c r="AE17" s="53"/>
      <c r="AF17" s="53"/>
      <c r="AG17" s="47"/>
      <c r="AH17" s="53">
        <f>SUM(P17:AG17)</f>
        <v>13107911.189999999</v>
      </c>
      <c r="AI17" s="51"/>
      <c r="AJ17" s="55">
        <f t="shared" si="2"/>
        <v>-0.18999999947845936</v>
      </c>
    </row>
    <row r="18" spans="1:36" s="36" customFormat="1" ht="15.75" x14ac:dyDescent="0.25">
      <c r="A18" s="93"/>
      <c r="B18" s="94"/>
      <c r="C18" s="91"/>
      <c r="D18" s="91"/>
      <c r="E18" s="91"/>
      <c r="F18" s="91"/>
      <c r="G18" s="91"/>
      <c r="H18" s="92"/>
      <c r="I18" s="59">
        <f>SUM(I15:I17)</f>
        <v>23850846</v>
      </c>
      <c r="J18" s="59"/>
      <c r="K18" s="59"/>
      <c r="L18" s="59"/>
      <c r="M18" s="59"/>
      <c r="N18" s="59"/>
      <c r="O18" s="47"/>
      <c r="P18" s="59">
        <f>SUM(P15:P17)</f>
        <v>5555085</v>
      </c>
      <c r="Q18" s="47"/>
      <c r="R18" s="59">
        <f>SUM(R15:R17)</f>
        <v>2212948</v>
      </c>
      <c r="S18" s="59">
        <f t="shared" ref="S18:AC18" si="4">SUM(S15:S17)</f>
        <v>1990024</v>
      </c>
      <c r="T18" s="59">
        <f t="shared" si="4"/>
        <v>1963619</v>
      </c>
      <c r="U18" s="59">
        <f t="shared" si="4"/>
        <v>2124670.48</v>
      </c>
      <c r="V18" s="59">
        <f t="shared" si="4"/>
        <v>2489760</v>
      </c>
      <c r="W18" s="59">
        <f t="shared" si="4"/>
        <v>2403678</v>
      </c>
      <c r="X18" s="59">
        <f t="shared" si="4"/>
        <v>1379154</v>
      </c>
      <c r="Y18" s="59">
        <f t="shared" si="4"/>
        <v>1270563</v>
      </c>
      <c r="Z18" s="59">
        <f t="shared" si="4"/>
        <v>843964</v>
      </c>
      <c r="AA18" s="59">
        <f t="shared" si="4"/>
        <v>843964</v>
      </c>
      <c r="AB18" s="59">
        <f t="shared" si="4"/>
        <v>520154</v>
      </c>
      <c r="AC18" s="59">
        <f t="shared" si="4"/>
        <v>253263</v>
      </c>
      <c r="AD18" s="47"/>
      <c r="AE18" s="59">
        <f>SUM(AE14:AE17)</f>
        <v>0</v>
      </c>
      <c r="AF18" s="59">
        <f>SUM(AF14:AF17)</f>
        <v>0</v>
      </c>
      <c r="AG18" s="47"/>
      <c r="AH18" s="53">
        <f t="shared" ref="AH18:AH26" si="5">SUM(P18:AG18)</f>
        <v>23850846.48</v>
      </c>
      <c r="AI18" s="51"/>
      <c r="AJ18" s="55">
        <f t="shared" si="2"/>
        <v>-0.48000000044703484</v>
      </c>
    </row>
    <row r="19" spans="1:36" s="36" customFormat="1" ht="15.75" x14ac:dyDescent="0.25">
      <c r="A19" s="106" t="s">
        <v>484</v>
      </c>
      <c r="B19" s="107"/>
      <c r="C19" s="101" t="s">
        <v>373</v>
      </c>
      <c r="D19" s="102"/>
      <c r="E19" s="102"/>
      <c r="F19" s="102"/>
      <c r="G19" s="102"/>
      <c r="H19" s="84"/>
      <c r="I19" s="193"/>
      <c r="J19" s="103"/>
      <c r="K19" s="103"/>
      <c r="L19" s="103"/>
      <c r="M19" s="103"/>
      <c r="N19" s="103"/>
      <c r="O19" s="47"/>
      <c r="P19" s="85"/>
      <c r="Q19" s="47"/>
      <c r="R19" s="103"/>
      <c r="S19" s="103"/>
      <c r="T19" s="103"/>
      <c r="U19" s="103"/>
      <c r="V19" s="103"/>
      <c r="W19" s="103">
        <v>781920</v>
      </c>
      <c r="X19" s="103"/>
      <c r="Y19" s="103"/>
      <c r="Z19" s="103"/>
      <c r="AA19" s="103"/>
      <c r="AB19" s="103"/>
      <c r="AC19" s="103"/>
      <c r="AD19" s="47"/>
      <c r="AE19" s="103"/>
      <c r="AF19" s="103"/>
      <c r="AG19" s="47"/>
      <c r="AH19" s="85"/>
      <c r="AI19" s="51"/>
      <c r="AJ19" s="55">
        <f>I19-AH19</f>
        <v>0</v>
      </c>
    </row>
    <row r="20" spans="1:36" s="36" customFormat="1" ht="15.75" x14ac:dyDescent="0.25">
      <c r="A20" s="34" t="s">
        <v>166</v>
      </c>
      <c r="B20" s="35" t="s">
        <v>168</v>
      </c>
      <c r="C20" s="52" t="s">
        <v>45</v>
      </c>
      <c r="D20" s="52" t="s">
        <v>371</v>
      </c>
      <c r="E20" s="52" t="s">
        <v>320</v>
      </c>
      <c r="F20" s="87" t="e">
        <f>#REF!</f>
        <v>#REF!</v>
      </c>
      <c r="G20" s="87">
        <v>44508</v>
      </c>
      <c r="H20" s="88" t="e">
        <f>((G20-F20)/7)/4.3</f>
        <v>#REF!</v>
      </c>
      <c r="I20" s="58">
        <v>1000000</v>
      </c>
      <c r="J20" s="53"/>
      <c r="K20" s="53"/>
      <c r="L20" s="53"/>
      <c r="M20" s="53"/>
      <c r="N20" s="53"/>
      <c r="O20" s="47"/>
      <c r="P20" s="115"/>
      <c r="Q20" s="47"/>
      <c r="R20" s="115"/>
      <c r="S20" s="115"/>
      <c r="T20" s="115">
        <v>0</v>
      </c>
      <c r="U20" s="54">
        <v>0</v>
      </c>
      <c r="V20" s="54">
        <v>154842</v>
      </c>
      <c r="W20" s="54">
        <f>1000000/8</f>
        <v>125000</v>
      </c>
      <c r="X20" s="54">
        <f>1000000/8</f>
        <v>125000</v>
      </c>
      <c r="Y20" s="54">
        <f>1000000/8</f>
        <v>125000</v>
      </c>
      <c r="Z20" s="54">
        <f>1000000/8</f>
        <v>125000</v>
      </c>
      <c r="AA20" s="54">
        <f>1000000/8</f>
        <v>125000</v>
      </c>
      <c r="AB20" s="54">
        <v>75000</v>
      </c>
      <c r="AC20" s="54">
        <v>75000</v>
      </c>
      <c r="AD20" s="47"/>
      <c r="AE20" s="53"/>
      <c r="AF20" s="53"/>
      <c r="AG20" s="47"/>
      <c r="AH20" s="53">
        <f>SUM(P20:AG20)</f>
        <v>929842</v>
      </c>
      <c r="AI20" s="51"/>
      <c r="AJ20" s="55">
        <f>I20-AH20</f>
        <v>70158</v>
      </c>
    </row>
    <row r="21" spans="1:36" s="36" customFormat="1" ht="15.75" x14ac:dyDescent="0.25">
      <c r="A21" s="93"/>
      <c r="B21" s="94"/>
      <c r="C21" s="91"/>
      <c r="D21" s="91"/>
      <c r="E21" s="91"/>
      <c r="F21" s="91"/>
      <c r="G21" s="91"/>
      <c r="H21" s="92"/>
      <c r="I21" s="59">
        <f>SUM(I18:I20)</f>
        <v>24850846</v>
      </c>
      <c r="J21" s="59"/>
      <c r="K21" s="59"/>
      <c r="L21" s="59"/>
      <c r="M21" s="59"/>
      <c r="N21" s="59"/>
      <c r="O21" s="47"/>
      <c r="P21" s="59">
        <f>SUM(P18:P20)</f>
        <v>5555085</v>
      </c>
      <c r="Q21" s="47"/>
      <c r="R21" s="59">
        <f>SUM(R18:R20)</f>
        <v>2212948</v>
      </c>
      <c r="S21" s="59">
        <f t="shared" ref="S21:AC21" si="6">SUM(S18:S20)</f>
        <v>1990024</v>
      </c>
      <c r="T21" s="59">
        <f t="shared" si="6"/>
        <v>1963619</v>
      </c>
      <c r="U21" s="59">
        <f t="shared" si="6"/>
        <v>2124670.48</v>
      </c>
      <c r="V21" s="59">
        <f t="shared" si="6"/>
        <v>2644602</v>
      </c>
      <c r="W21" s="59">
        <f t="shared" si="6"/>
        <v>3310598</v>
      </c>
      <c r="X21" s="59">
        <f t="shared" si="6"/>
        <v>1504154</v>
      </c>
      <c r="Y21" s="59">
        <f t="shared" si="6"/>
        <v>1395563</v>
      </c>
      <c r="Z21" s="59">
        <f t="shared" si="6"/>
        <v>968964</v>
      </c>
      <c r="AA21" s="59">
        <f t="shared" si="6"/>
        <v>968964</v>
      </c>
      <c r="AB21" s="59">
        <f t="shared" si="6"/>
        <v>595154</v>
      </c>
      <c r="AC21" s="59">
        <f t="shared" si="6"/>
        <v>328263</v>
      </c>
      <c r="AD21" s="47"/>
      <c r="AE21" s="59">
        <f>SUM(AE17:AE20)</f>
        <v>0</v>
      </c>
      <c r="AF21" s="59">
        <f>SUM(AF17:AF20)</f>
        <v>0</v>
      </c>
      <c r="AG21" s="47"/>
      <c r="AH21" s="53">
        <f>SUM(P21:AG21)</f>
        <v>25562608.48</v>
      </c>
      <c r="AI21" s="51"/>
      <c r="AJ21" s="55">
        <f>I21-AH21</f>
        <v>-711762.48000000045</v>
      </c>
    </row>
    <row r="22" spans="1:36" s="36" customFormat="1" ht="15.75" x14ac:dyDescent="0.25">
      <c r="A22" s="106" t="s">
        <v>379</v>
      </c>
      <c r="B22" s="107"/>
      <c r="C22" s="101" t="s">
        <v>380</v>
      </c>
      <c r="D22" s="102"/>
      <c r="E22" s="102"/>
      <c r="F22" s="102"/>
      <c r="G22" s="102"/>
      <c r="H22" s="84"/>
      <c r="I22" s="193" t="s">
        <v>444</v>
      </c>
      <c r="J22" s="103"/>
      <c r="K22" s="103"/>
      <c r="L22" s="103"/>
      <c r="M22" s="103"/>
      <c r="N22" s="103"/>
      <c r="O22" s="47"/>
      <c r="P22" s="85"/>
      <c r="Q22" s="47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47"/>
      <c r="AE22" s="103"/>
      <c r="AF22" s="103"/>
      <c r="AG22" s="47"/>
      <c r="AH22" s="85"/>
      <c r="AI22" s="51"/>
      <c r="AJ22" s="55" t="e">
        <f t="shared" si="2"/>
        <v>#VALUE!</v>
      </c>
    </row>
    <row r="23" spans="1:36" s="36" customFormat="1" ht="15.75" x14ac:dyDescent="0.25">
      <c r="A23" s="60" t="s">
        <v>269</v>
      </c>
      <c r="B23" s="61" t="s">
        <v>270</v>
      </c>
      <c r="C23" s="52" t="s">
        <v>380</v>
      </c>
      <c r="D23" s="52" t="s">
        <v>381</v>
      </c>
      <c r="E23" s="52" t="s">
        <v>370</v>
      </c>
      <c r="F23" s="52" t="e">
        <f>#REF!</f>
        <v>#REF!</v>
      </c>
      <c r="G23" s="52" t="e">
        <f>#REF!</f>
        <v>#REF!</v>
      </c>
      <c r="H23" s="50" t="e">
        <f t="shared" ref="H23:H33" si="7">((G23-F23)/7)/4.3</f>
        <v>#REF!</v>
      </c>
      <c r="I23" s="182">
        <v>890454</v>
      </c>
      <c r="J23" s="53"/>
      <c r="K23" s="53"/>
      <c r="L23" s="53"/>
      <c r="M23" s="53"/>
      <c r="N23" s="53"/>
      <c r="O23" s="47"/>
      <c r="P23" s="115">
        <v>890454</v>
      </c>
      <c r="Q23" s="47"/>
      <c r="R23" s="115"/>
      <c r="S23" s="115"/>
      <c r="T23" s="115"/>
      <c r="U23" s="53"/>
      <c r="V23" s="53"/>
      <c r="W23" s="53"/>
      <c r="X23" s="53"/>
      <c r="Y23" s="53"/>
      <c r="Z23" s="53"/>
      <c r="AA23" s="53"/>
      <c r="AB23" s="53"/>
      <c r="AC23" s="53"/>
      <c r="AD23" s="47"/>
      <c r="AE23" s="53"/>
      <c r="AF23" s="53"/>
      <c r="AG23" s="47"/>
      <c r="AH23" s="53">
        <f t="shared" si="5"/>
        <v>890454</v>
      </c>
      <c r="AI23" s="51"/>
      <c r="AJ23" s="55">
        <f t="shared" si="2"/>
        <v>0</v>
      </c>
    </row>
    <row r="24" spans="1:36" s="36" customFormat="1" ht="15.75" x14ac:dyDescent="0.25">
      <c r="A24" s="60" t="s">
        <v>65</v>
      </c>
      <c r="B24" s="61" t="s">
        <v>66</v>
      </c>
      <c r="C24" s="52" t="s">
        <v>380</v>
      </c>
      <c r="D24" s="52" t="s">
        <v>381</v>
      </c>
      <c r="E24" s="52" t="s">
        <v>370</v>
      </c>
      <c r="F24" s="52">
        <v>44004</v>
      </c>
      <c r="G24" s="87">
        <v>44301</v>
      </c>
      <c r="H24" s="50">
        <f t="shared" si="7"/>
        <v>9.867109634551495</v>
      </c>
      <c r="I24" s="182">
        <v>2499778</v>
      </c>
      <c r="J24" s="53"/>
      <c r="K24" s="53"/>
      <c r="L24" s="53"/>
      <c r="M24" s="53"/>
      <c r="N24" s="53"/>
      <c r="O24" s="47"/>
      <c r="P24" s="115">
        <v>1697608</v>
      </c>
      <c r="Q24" s="47"/>
      <c r="R24" s="115">
        <v>93223</v>
      </c>
      <c r="S24" s="115"/>
      <c r="T24" s="115">
        <v>247214</v>
      </c>
      <c r="U24" s="115">
        <v>203015.61</v>
      </c>
      <c r="V24" s="53">
        <v>258717</v>
      </c>
      <c r="W24" s="53"/>
      <c r="X24" s="53"/>
      <c r="Y24" s="53"/>
      <c r="Z24" s="53"/>
      <c r="AA24" s="53"/>
      <c r="AB24" s="53"/>
      <c r="AC24" s="53"/>
      <c r="AD24" s="47"/>
      <c r="AE24" s="53"/>
      <c r="AF24" s="53"/>
      <c r="AG24" s="47"/>
      <c r="AH24" s="53">
        <f t="shared" si="5"/>
        <v>2499777.61</v>
      </c>
      <c r="AI24" s="51"/>
      <c r="AJ24" s="55">
        <f t="shared" si="2"/>
        <v>0.39000000013038516</v>
      </c>
    </row>
    <row r="25" spans="1:36" s="36" customFormat="1" ht="15.75" x14ac:dyDescent="0.25">
      <c r="A25" s="34" t="s">
        <v>71</v>
      </c>
      <c r="B25" s="35" t="s">
        <v>72</v>
      </c>
      <c r="C25" s="52" t="s">
        <v>380</v>
      </c>
      <c r="D25" s="52" t="s">
        <v>381</v>
      </c>
      <c r="E25" s="52" t="s">
        <v>320</v>
      </c>
      <c r="F25" s="52">
        <v>44317</v>
      </c>
      <c r="G25" s="52">
        <v>44407</v>
      </c>
      <c r="H25" s="50">
        <f t="shared" si="7"/>
        <v>2.9900332225913622</v>
      </c>
      <c r="I25" s="53">
        <v>177819</v>
      </c>
      <c r="J25" s="53"/>
      <c r="K25" s="53"/>
      <c r="L25" s="53"/>
      <c r="M25" s="53"/>
      <c r="N25" s="53"/>
      <c r="O25" s="47"/>
      <c r="P25" s="115"/>
      <c r="Q25" s="47"/>
      <c r="R25" s="115"/>
      <c r="S25" s="115"/>
      <c r="T25" s="115">
        <v>0</v>
      </c>
      <c r="U25" s="115"/>
      <c r="V25" s="54">
        <f>75000+37500</f>
        <v>112500</v>
      </c>
      <c r="W25" s="54">
        <f>27819+37500</f>
        <v>65319</v>
      </c>
      <c r="X25" s="53"/>
      <c r="Y25" s="53"/>
      <c r="Z25" s="53"/>
      <c r="AA25" s="53"/>
      <c r="AB25" s="53"/>
      <c r="AC25" s="53"/>
      <c r="AD25" s="47"/>
      <c r="AE25" s="53"/>
      <c r="AF25" s="53"/>
      <c r="AG25" s="47"/>
      <c r="AH25" s="53">
        <f t="shared" si="5"/>
        <v>177819</v>
      </c>
      <c r="AI25" s="51"/>
      <c r="AJ25" s="55">
        <f t="shared" si="2"/>
        <v>0</v>
      </c>
    </row>
    <row r="26" spans="1:36" s="36" customFormat="1" ht="15.75" x14ac:dyDescent="0.25">
      <c r="A26" s="34" t="s">
        <v>74</v>
      </c>
      <c r="B26" s="35" t="s">
        <v>76</v>
      </c>
      <c r="C26" s="52" t="s">
        <v>380</v>
      </c>
      <c r="D26" s="52" t="s">
        <v>381</v>
      </c>
      <c r="E26" s="52" t="s">
        <v>320</v>
      </c>
      <c r="F26" s="87">
        <v>44317</v>
      </c>
      <c r="G26" s="87">
        <v>44437</v>
      </c>
      <c r="H26" s="50">
        <f t="shared" si="7"/>
        <v>3.9867109634551494</v>
      </c>
      <c r="I26" s="182">
        <v>700000</v>
      </c>
      <c r="J26" s="53"/>
      <c r="K26" s="53"/>
      <c r="L26" s="53"/>
      <c r="M26" s="53"/>
      <c r="N26" s="53"/>
      <c r="O26" s="47"/>
      <c r="P26" s="115"/>
      <c r="Q26" s="47"/>
      <c r="R26" s="115"/>
      <c r="S26" s="115"/>
      <c r="T26" s="115"/>
      <c r="U26" s="115"/>
      <c r="V26" s="54"/>
      <c r="W26" s="54">
        <f>150000+107500</f>
        <v>257500</v>
      </c>
      <c r="X26" s="54">
        <f>150000+107500</f>
        <v>257500</v>
      </c>
      <c r="Y26" s="54">
        <v>125000</v>
      </c>
      <c r="Z26" s="54">
        <v>60000</v>
      </c>
      <c r="AA26" s="53"/>
      <c r="AB26" s="53"/>
      <c r="AC26" s="53"/>
      <c r="AD26" s="47"/>
      <c r="AE26" s="53"/>
      <c r="AF26" s="53"/>
      <c r="AG26" s="47"/>
      <c r="AH26" s="53">
        <f t="shared" si="5"/>
        <v>700000</v>
      </c>
      <c r="AI26" s="51"/>
      <c r="AJ26" s="55">
        <f t="shared" si="2"/>
        <v>0</v>
      </c>
    </row>
    <row r="27" spans="1:36" s="36" customFormat="1" ht="15.75" x14ac:dyDescent="0.25">
      <c r="A27" s="34" t="s">
        <v>78</v>
      </c>
      <c r="B27" s="35" t="s">
        <v>417</v>
      </c>
      <c r="C27" s="52" t="s">
        <v>380</v>
      </c>
      <c r="D27" s="52" t="s">
        <v>381</v>
      </c>
      <c r="E27" s="52" t="s">
        <v>320</v>
      </c>
      <c r="F27" s="87">
        <v>44348</v>
      </c>
      <c r="G27" s="87">
        <v>44528</v>
      </c>
      <c r="H27" s="50">
        <f t="shared" si="7"/>
        <v>5.9800664451827243</v>
      </c>
      <c r="I27" s="182">
        <v>469659</v>
      </c>
      <c r="J27" s="53"/>
      <c r="K27" s="53"/>
      <c r="L27" s="53"/>
      <c r="M27" s="53"/>
      <c r="N27" s="53"/>
      <c r="O27" s="47"/>
      <c r="P27" s="115">
        <v>32120</v>
      </c>
      <c r="Q27" s="47"/>
      <c r="R27" s="115"/>
      <c r="S27" s="115"/>
      <c r="T27" s="178"/>
      <c r="U27" s="178"/>
      <c r="V27" s="34"/>
      <c r="W27" s="54">
        <v>50000</v>
      </c>
      <c r="X27" s="54">
        <v>75000</v>
      </c>
      <c r="Y27" s="54">
        <v>80000</v>
      </c>
      <c r="Z27" s="54">
        <v>80000</v>
      </c>
      <c r="AA27" s="54">
        <v>75000</v>
      </c>
      <c r="AB27" s="54">
        <v>77539</v>
      </c>
      <c r="AC27" s="53"/>
      <c r="AD27" s="47"/>
      <c r="AE27" s="53"/>
      <c r="AF27" s="53"/>
      <c r="AG27" s="47"/>
      <c r="AH27" s="53">
        <f t="shared" ref="AH27:AH37" si="8">SUM(P27:AG27)</f>
        <v>469659</v>
      </c>
      <c r="AI27" s="51"/>
      <c r="AJ27" s="55">
        <f t="shared" si="2"/>
        <v>0</v>
      </c>
    </row>
    <row r="28" spans="1:36" s="36" customFormat="1" ht="15.75" x14ac:dyDescent="0.25">
      <c r="A28" s="34" t="s">
        <v>82</v>
      </c>
      <c r="B28" s="35" t="s">
        <v>83</v>
      </c>
      <c r="C28" s="52" t="s">
        <v>380</v>
      </c>
      <c r="D28" s="52" t="s">
        <v>381</v>
      </c>
      <c r="E28" s="52" t="s">
        <v>370</v>
      </c>
      <c r="F28" s="52">
        <v>44317</v>
      </c>
      <c r="G28" s="52">
        <v>44497</v>
      </c>
      <c r="H28" s="50">
        <f>((G28-F28)/7)/4.3</f>
        <v>5.9800664451827243</v>
      </c>
      <c r="I28" s="182">
        <v>446790</v>
      </c>
      <c r="J28" s="53"/>
      <c r="K28" s="53"/>
      <c r="L28" s="53"/>
      <c r="M28" s="53"/>
      <c r="N28" s="53"/>
      <c r="O28" s="47"/>
      <c r="P28" s="115"/>
      <c r="Q28" s="47"/>
      <c r="R28" s="115"/>
      <c r="S28" s="115"/>
      <c r="T28" s="178"/>
      <c r="U28" s="178"/>
      <c r="V28" s="34"/>
      <c r="W28" s="54">
        <v>25000</v>
      </c>
      <c r="X28" s="54">
        <v>75000</v>
      </c>
      <c r="Y28" s="54">
        <v>100000</v>
      </c>
      <c r="Z28" s="54">
        <v>100000</v>
      </c>
      <c r="AA28" s="54">
        <v>100000</v>
      </c>
      <c r="AB28" s="54">
        <v>46790</v>
      </c>
      <c r="AC28" s="53"/>
      <c r="AD28" s="47"/>
      <c r="AE28" s="53"/>
      <c r="AF28" s="53"/>
      <c r="AG28" s="47"/>
      <c r="AH28" s="53">
        <f>SUM(P28:AG28)</f>
        <v>446790</v>
      </c>
      <c r="AI28" s="51"/>
      <c r="AJ28" s="55">
        <f t="shared" si="2"/>
        <v>0</v>
      </c>
    </row>
    <row r="29" spans="1:36" s="36" customFormat="1" ht="15.75" x14ac:dyDescent="0.25">
      <c r="A29" s="34" t="s">
        <v>84</v>
      </c>
      <c r="B29" s="35" t="s">
        <v>85</v>
      </c>
      <c r="C29" s="52" t="s">
        <v>380</v>
      </c>
      <c r="D29" s="52" t="s">
        <v>381</v>
      </c>
      <c r="E29" s="52" t="s">
        <v>320</v>
      </c>
      <c r="F29" s="52">
        <v>44317</v>
      </c>
      <c r="G29" s="52">
        <v>44497</v>
      </c>
      <c r="H29" s="50">
        <f>((G29-F29)/7)/4.3</f>
        <v>5.9800664451827243</v>
      </c>
      <c r="I29" s="182">
        <v>577801</v>
      </c>
      <c r="J29" s="53"/>
      <c r="K29" s="53"/>
      <c r="L29" s="53"/>
      <c r="M29" s="53"/>
      <c r="N29" s="53"/>
      <c r="O29" s="47"/>
      <c r="P29" s="115"/>
      <c r="Q29" s="47"/>
      <c r="R29" s="115"/>
      <c r="S29" s="115"/>
      <c r="T29" s="178"/>
      <c r="U29" s="178"/>
      <c r="V29" s="34"/>
      <c r="W29" s="54">
        <v>75000</v>
      </c>
      <c r="X29" s="54">
        <v>100000</v>
      </c>
      <c r="Y29" s="54">
        <v>125000</v>
      </c>
      <c r="Z29" s="54">
        <v>125000</v>
      </c>
      <c r="AA29" s="54">
        <v>100000</v>
      </c>
      <c r="AB29" s="54">
        <v>52801</v>
      </c>
      <c r="AC29" s="53"/>
      <c r="AD29" s="47"/>
      <c r="AE29" s="53"/>
      <c r="AF29" s="53"/>
      <c r="AG29" s="47"/>
      <c r="AH29" s="53">
        <f>SUM(P29:AG29)</f>
        <v>577801</v>
      </c>
      <c r="AI29" s="51"/>
      <c r="AJ29" s="55">
        <f t="shared" si="2"/>
        <v>0</v>
      </c>
    </row>
    <row r="30" spans="1:36" s="36" customFormat="1" ht="15.75" x14ac:dyDescent="0.25">
      <c r="A30" s="34" t="s">
        <v>383</v>
      </c>
      <c r="B30" s="35" t="s">
        <v>384</v>
      </c>
      <c r="C30" s="52" t="s">
        <v>380</v>
      </c>
      <c r="D30" s="52" t="s">
        <v>381</v>
      </c>
      <c r="E30" s="52" t="s">
        <v>370</v>
      </c>
      <c r="F30" s="87">
        <v>44290</v>
      </c>
      <c r="G30" s="87">
        <v>44392</v>
      </c>
      <c r="H30" s="50">
        <f t="shared" si="7"/>
        <v>3.3887043189368771</v>
      </c>
      <c r="I30" s="182">
        <v>683158</v>
      </c>
      <c r="J30" s="53"/>
      <c r="K30" s="53"/>
      <c r="L30" s="53"/>
      <c r="M30" s="53"/>
      <c r="N30" s="53"/>
      <c r="O30" s="47"/>
      <c r="P30" s="115">
        <v>65749</v>
      </c>
      <c r="Q30" s="47"/>
      <c r="R30" s="115"/>
      <c r="S30" s="115"/>
      <c r="T30" s="115">
        <v>72518</v>
      </c>
      <c r="U30" s="115">
        <v>31181.82</v>
      </c>
      <c r="V30" s="54">
        <f>26909+85000</f>
        <v>111909</v>
      </c>
      <c r="W30" s="54">
        <f>85000+26909</f>
        <v>111909</v>
      </c>
      <c r="X30" s="54">
        <v>69891</v>
      </c>
      <c r="Y30" s="54">
        <v>85000</v>
      </c>
      <c r="Z30" s="54">
        <v>85000</v>
      </c>
      <c r="AA30" s="54">
        <v>50000</v>
      </c>
      <c r="AB30" s="54">
        <v>0</v>
      </c>
      <c r="AC30" s="53"/>
      <c r="AD30" s="47"/>
      <c r="AE30" s="53"/>
      <c r="AF30" s="53"/>
      <c r="AG30" s="47"/>
      <c r="AH30" s="53">
        <f t="shared" si="8"/>
        <v>683157.82000000007</v>
      </c>
      <c r="AI30" s="51"/>
      <c r="AJ30" s="55">
        <f t="shared" si="2"/>
        <v>0.17999999993480742</v>
      </c>
    </row>
    <row r="31" spans="1:36" s="36" customFormat="1" ht="15.75" x14ac:dyDescent="0.25">
      <c r="A31" s="34" t="s">
        <v>92</v>
      </c>
      <c r="B31" s="35" t="s">
        <v>93</v>
      </c>
      <c r="C31" s="52" t="s">
        <v>380</v>
      </c>
      <c r="D31" s="52" t="s">
        <v>381</v>
      </c>
      <c r="E31" s="52" t="s">
        <v>370</v>
      </c>
      <c r="F31" s="87">
        <v>44256</v>
      </c>
      <c r="G31" s="87">
        <v>44557</v>
      </c>
      <c r="H31" s="50">
        <f t="shared" si="7"/>
        <v>10</v>
      </c>
      <c r="I31" s="182">
        <v>1436404</v>
      </c>
      <c r="J31" s="53"/>
      <c r="K31" s="53"/>
      <c r="L31" s="53"/>
      <c r="M31" s="53"/>
      <c r="N31" s="53"/>
      <c r="O31" s="47"/>
      <c r="P31" s="115">
        <v>91138</v>
      </c>
      <c r="Q31" s="47"/>
      <c r="R31" s="115"/>
      <c r="S31" s="178"/>
      <c r="T31" s="115">
        <v>0</v>
      </c>
      <c r="U31" s="115">
        <v>55754.38</v>
      </c>
      <c r="V31" s="54">
        <f>150000+47123</f>
        <v>197123</v>
      </c>
      <c r="W31" s="54">
        <f>150000+47123</f>
        <v>197123</v>
      </c>
      <c r="X31" s="54">
        <v>150000</v>
      </c>
      <c r="Y31" s="54">
        <v>150000</v>
      </c>
      <c r="Z31" s="54">
        <v>175000</v>
      </c>
      <c r="AA31" s="54">
        <v>175000</v>
      </c>
      <c r="AB31" s="54">
        <v>245266</v>
      </c>
      <c r="AC31" s="58"/>
      <c r="AD31" s="47"/>
      <c r="AE31" s="58"/>
      <c r="AF31" s="53"/>
      <c r="AG31" s="47"/>
      <c r="AH31" s="53">
        <f t="shared" si="8"/>
        <v>1436404.38</v>
      </c>
      <c r="AI31" s="51"/>
      <c r="AJ31" s="55">
        <f t="shared" si="2"/>
        <v>-0.37999999988824129</v>
      </c>
    </row>
    <row r="32" spans="1:36" s="36" customFormat="1" ht="15.75" x14ac:dyDescent="0.25">
      <c r="A32" s="34" t="s">
        <v>96</v>
      </c>
      <c r="B32" s="35" t="s">
        <v>97</v>
      </c>
      <c r="C32" s="52" t="s">
        <v>380</v>
      </c>
      <c r="D32" s="52" t="s">
        <v>381</v>
      </c>
      <c r="E32" s="52" t="s">
        <v>370</v>
      </c>
      <c r="F32" s="87">
        <v>44284</v>
      </c>
      <c r="G32" s="87">
        <v>44524</v>
      </c>
      <c r="H32" s="50">
        <f t="shared" si="7"/>
        <v>7.9734219269102988</v>
      </c>
      <c r="I32" s="182">
        <v>648253</v>
      </c>
      <c r="J32" s="53"/>
      <c r="K32" s="53"/>
      <c r="L32" s="53"/>
      <c r="M32" s="53"/>
      <c r="N32" s="53"/>
      <c r="O32" s="47"/>
      <c r="P32" s="115">
        <v>124344</v>
      </c>
      <c r="Q32" s="47"/>
      <c r="R32" s="115"/>
      <c r="S32" s="178"/>
      <c r="T32" s="115">
        <v>0</v>
      </c>
      <c r="U32" s="115"/>
      <c r="V32" s="54">
        <f>65000+32500</f>
        <v>97500</v>
      </c>
      <c r="W32" s="54">
        <f>65000+32500</f>
        <v>97500</v>
      </c>
      <c r="X32" s="54">
        <v>65000</v>
      </c>
      <c r="Y32" s="54">
        <v>65000</v>
      </c>
      <c r="Z32" s="54">
        <v>65000</v>
      </c>
      <c r="AA32" s="54">
        <v>60000</v>
      </c>
      <c r="AB32" s="54">
        <v>73909</v>
      </c>
      <c r="AC32" s="53"/>
      <c r="AD32" s="47"/>
      <c r="AE32" s="53"/>
      <c r="AF32" s="53"/>
      <c r="AG32" s="47"/>
      <c r="AH32" s="53">
        <f t="shared" si="8"/>
        <v>648253</v>
      </c>
      <c r="AI32" s="51"/>
      <c r="AJ32" s="55">
        <f t="shared" si="2"/>
        <v>0</v>
      </c>
    </row>
    <row r="33" spans="1:36" s="36" customFormat="1" ht="15.75" x14ac:dyDescent="0.25">
      <c r="A33" s="60" t="s">
        <v>99</v>
      </c>
      <c r="B33" s="61" t="s">
        <v>100</v>
      </c>
      <c r="C33" s="52" t="s">
        <v>380</v>
      </c>
      <c r="D33" s="52" t="s">
        <v>381</v>
      </c>
      <c r="E33" s="52" t="s">
        <v>370</v>
      </c>
      <c r="F33" s="87">
        <v>44284</v>
      </c>
      <c r="G33" s="87">
        <v>44524</v>
      </c>
      <c r="H33" s="50">
        <f t="shared" si="7"/>
        <v>7.9734219269102988</v>
      </c>
      <c r="I33" s="182">
        <v>400187</v>
      </c>
      <c r="J33" s="53"/>
      <c r="K33" s="53"/>
      <c r="L33" s="53"/>
      <c r="M33" s="53"/>
      <c r="N33" s="53"/>
      <c r="O33" s="47"/>
      <c r="P33" s="115">
        <v>14681</v>
      </c>
      <c r="Q33" s="47"/>
      <c r="R33" s="115"/>
      <c r="S33" s="178"/>
      <c r="T33" s="115">
        <v>0</v>
      </c>
      <c r="U33" s="115"/>
      <c r="V33" s="54">
        <f>50000+25000</f>
        <v>75000</v>
      </c>
      <c r="W33" s="54">
        <f>50000+25000</f>
        <v>75000</v>
      </c>
      <c r="X33" s="54">
        <v>50000</v>
      </c>
      <c r="Y33" s="54">
        <v>50000</v>
      </c>
      <c r="Z33" s="54">
        <v>50000</v>
      </c>
      <c r="AA33" s="54">
        <v>50000</v>
      </c>
      <c r="AB33" s="54">
        <v>35506</v>
      </c>
      <c r="AC33" s="53"/>
      <c r="AD33" s="47"/>
      <c r="AE33" s="53"/>
      <c r="AF33" s="53"/>
      <c r="AG33" s="47"/>
      <c r="AH33" s="53">
        <f t="shared" si="8"/>
        <v>400187</v>
      </c>
      <c r="AI33" s="51"/>
      <c r="AJ33" s="55">
        <f t="shared" si="2"/>
        <v>0</v>
      </c>
    </row>
    <row r="34" spans="1:36" s="36" customFormat="1" ht="15.75" x14ac:dyDescent="0.25">
      <c r="A34" s="34" t="s">
        <v>102</v>
      </c>
      <c r="B34" s="35" t="s">
        <v>385</v>
      </c>
      <c r="C34" s="52" t="s">
        <v>380</v>
      </c>
      <c r="D34" s="52" t="s">
        <v>381</v>
      </c>
      <c r="E34" s="52" t="s">
        <v>320</v>
      </c>
      <c r="F34" s="52" t="s">
        <v>24</v>
      </c>
      <c r="G34" s="52" t="s">
        <v>24</v>
      </c>
      <c r="H34" s="52" t="s">
        <v>24</v>
      </c>
      <c r="I34" s="86">
        <v>0</v>
      </c>
      <c r="J34" s="53"/>
      <c r="K34" s="53"/>
      <c r="L34" s="53"/>
      <c r="M34" s="53"/>
      <c r="N34" s="53"/>
      <c r="O34" s="47"/>
      <c r="P34" s="115"/>
      <c r="Q34" s="47"/>
      <c r="R34" s="115"/>
      <c r="S34" s="178"/>
      <c r="T34" s="115"/>
      <c r="U34" s="115"/>
      <c r="V34" s="58"/>
      <c r="W34" s="53"/>
      <c r="X34" s="53"/>
      <c r="Y34" s="53"/>
      <c r="Z34" s="53"/>
      <c r="AA34" s="53"/>
      <c r="AB34" s="53"/>
      <c r="AC34" s="53"/>
      <c r="AD34" s="47"/>
      <c r="AE34" s="53"/>
      <c r="AF34" s="53"/>
      <c r="AG34" s="47"/>
      <c r="AH34" s="53">
        <f t="shared" si="8"/>
        <v>0</v>
      </c>
      <c r="AI34" s="51"/>
      <c r="AJ34" s="55">
        <f t="shared" si="2"/>
        <v>0</v>
      </c>
    </row>
    <row r="35" spans="1:36" s="36" customFormat="1" ht="15.75" x14ac:dyDescent="0.25">
      <c r="A35" s="34" t="s">
        <v>107</v>
      </c>
      <c r="B35" s="35" t="s">
        <v>108</v>
      </c>
      <c r="C35" s="52" t="s">
        <v>380</v>
      </c>
      <c r="D35" s="52" t="s">
        <v>381</v>
      </c>
      <c r="E35" s="52" t="s">
        <v>320</v>
      </c>
      <c r="F35" s="52">
        <v>44336</v>
      </c>
      <c r="G35" s="52">
        <v>44456</v>
      </c>
      <c r="H35" s="50">
        <f>((G35-F35)/7)/4.3</f>
        <v>3.9867109634551494</v>
      </c>
      <c r="I35" s="53">
        <v>175000</v>
      </c>
      <c r="J35" s="53"/>
      <c r="K35" s="53"/>
      <c r="L35" s="53"/>
      <c r="M35" s="53"/>
      <c r="N35" s="53"/>
      <c r="O35" s="47"/>
      <c r="P35" s="115"/>
      <c r="Q35" s="47"/>
      <c r="R35" s="115"/>
      <c r="S35" s="178"/>
      <c r="T35" s="178"/>
      <c r="U35" s="115"/>
      <c r="V35" s="115">
        <f>25000+12500</f>
        <v>37500</v>
      </c>
      <c r="W35" s="54">
        <f>50000+12500</f>
        <v>62500</v>
      </c>
      <c r="X35" s="54">
        <v>50000</v>
      </c>
      <c r="Y35" s="54">
        <v>25000</v>
      </c>
      <c r="Z35" s="53"/>
      <c r="AA35" s="53"/>
      <c r="AB35" s="53"/>
      <c r="AC35" s="53"/>
      <c r="AD35" s="47"/>
      <c r="AE35" s="53"/>
      <c r="AF35" s="53"/>
      <c r="AG35" s="47"/>
      <c r="AH35" s="53">
        <f t="shared" si="8"/>
        <v>175000</v>
      </c>
      <c r="AI35" s="51"/>
      <c r="AJ35" s="55">
        <f t="shared" si="2"/>
        <v>0</v>
      </c>
    </row>
    <row r="36" spans="1:36" s="36" customFormat="1" ht="15.75" x14ac:dyDescent="0.25">
      <c r="A36" s="34" t="s">
        <v>110</v>
      </c>
      <c r="B36" s="35" t="s">
        <v>111</v>
      </c>
      <c r="C36" s="52" t="s">
        <v>380</v>
      </c>
      <c r="D36" s="52" t="s">
        <v>381</v>
      </c>
      <c r="E36" s="52" t="s">
        <v>320</v>
      </c>
      <c r="F36" s="52"/>
      <c r="G36" s="52"/>
      <c r="H36" s="50"/>
      <c r="I36" s="53">
        <v>0</v>
      </c>
      <c r="J36" s="53"/>
      <c r="K36" s="53"/>
      <c r="L36" s="53"/>
      <c r="M36" s="53"/>
      <c r="N36" s="53"/>
      <c r="O36" s="47"/>
      <c r="P36" s="115"/>
      <c r="Q36" s="47"/>
      <c r="R36" s="115"/>
      <c r="S36" s="178"/>
      <c r="T36" s="178"/>
      <c r="U36" s="115"/>
      <c r="V36" s="58"/>
      <c r="W36" s="58"/>
      <c r="X36" s="58"/>
      <c r="Y36" s="58"/>
      <c r="Z36" s="53"/>
      <c r="AA36" s="53"/>
      <c r="AB36" s="53"/>
      <c r="AC36" s="53"/>
      <c r="AD36" s="47"/>
      <c r="AE36" s="53"/>
      <c r="AF36" s="53"/>
      <c r="AG36" s="47"/>
      <c r="AH36" s="53">
        <f t="shared" si="8"/>
        <v>0</v>
      </c>
      <c r="AI36" s="51"/>
      <c r="AJ36" s="55">
        <f t="shared" si="2"/>
        <v>0</v>
      </c>
    </row>
    <row r="37" spans="1:36" s="36" customFormat="1" ht="15.75" x14ac:dyDescent="0.25">
      <c r="A37" s="93"/>
      <c r="B37" s="94"/>
      <c r="C37" s="91"/>
      <c r="D37" s="91"/>
      <c r="E37" s="91"/>
      <c r="F37" s="91"/>
      <c r="G37" s="91"/>
      <c r="H37" s="92"/>
      <c r="I37" s="59">
        <f>SUM(I23:N35)</f>
        <v>9105303</v>
      </c>
      <c r="J37" s="59"/>
      <c r="K37" s="59"/>
      <c r="L37" s="59"/>
      <c r="M37" s="59"/>
      <c r="N37" s="59"/>
      <c r="O37" s="47"/>
      <c r="P37" s="59">
        <f>SUM(P23:P36)</f>
        <v>2916094</v>
      </c>
      <c r="Q37" s="47"/>
      <c r="R37" s="59">
        <f>SUM(R23:R36)</f>
        <v>93223</v>
      </c>
      <c r="S37" s="59">
        <f>SUM(S23:S36)</f>
        <v>0</v>
      </c>
      <c r="T37" s="59">
        <f t="shared" ref="T37:AF37" si="9">SUM(T23:T36)</f>
        <v>319732</v>
      </c>
      <c r="U37" s="59">
        <f t="shared" si="9"/>
        <v>289951.81</v>
      </c>
      <c r="V37" s="59">
        <f t="shared" si="9"/>
        <v>890249</v>
      </c>
      <c r="W37" s="59">
        <f t="shared" si="9"/>
        <v>1016851</v>
      </c>
      <c r="X37" s="59">
        <f t="shared" si="9"/>
        <v>892391</v>
      </c>
      <c r="Y37" s="59">
        <f t="shared" si="9"/>
        <v>805000</v>
      </c>
      <c r="Z37" s="59">
        <f t="shared" si="9"/>
        <v>740000</v>
      </c>
      <c r="AA37" s="59">
        <f t="shared" si="9"/>
        <v>610000</v>
      </c>
      <c r="AB37" s="59">
        <f t="shared" si="9"/>
        <v>531811</v>
      </c>
      <c r="AC37" s="59">
        <f t="shared" si="9"/>
        <v>0</v>
      </c>
      <c r="AD37" s="47"/>
      <c r="AE37" s="59">
        <f t="shared" si="9"/>
        <v>0</v>
      </c>
      <c r="AF37" s="59">
        <f t="shared" si="9"/>
        <v>0</v>
      </c>
      <c r="AG37" s="47"/>
      <c r="AH37" s="53">
        <f t="shared" si="8"/>
        <v>9105302.8100000005</v>
      </c>
      <c r="AI37" s="51"/>
      <c r="AJ37" s="55">
        <f t="shared" si="2"/>
        <v>0.18999999947845936</v>
      </c>
    </row>
    <row r="38" spans="1:36" s="36" customFormat="1" ht="15.75" x14ac:dyDescent="0.25">
      <c r="A38" s="106" t="s">
        <v>115</v>
      </c>
      <c r="B38" s="107"/>
      <c r="C38" s="101" t="s">
        <v>386</v>
      </c>
      <c r="D38" s="102"/>
      <c r="E38" s="102"/>
      <c r="F38" s="102"/>
      <c r="G38" s="102"/>
      <c r="H38" s="84"/>
      <c r="I38" s="193" t="s">
        <v>444</v>
      </c>
      <c r="J38" s="103"/>
      <c r="K38" s="103"/>
      <c r="L38" s="103"/>
      <c r="M38" s="103"/>
      <c r="N38" s="103"/>
      <c r="O38" s="47"/>
      <c r="P38" s="85"/>
      <c r="Q38" s="47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47"/>
      <c r="AE38" s="103"/>
      <c r="AF38" s="103"/>
      <c r="AG38" s="47"/>
      <c r="AH38" s="85"/>
      <c r="AI38" s="51"/>
      <c r="AJ38" s="55" t="e">
        <f t="shared" si="2"/>
        <v>#VALUE!</v>
      </c>
    </row>
    <row r="39" spans="1:36" s="36" customFormat="1" ht="15.75" x14ac:dyDescent="0.25">
      <c r="A39" s="60" t="s">
        <v>304</v>
      </c>
      <c r="B39" s="61" t="s">
        <v>420</v>
      </c>
      <c r="C39" s="52" t="s">
        <v>386</v>
      </c>
      <c r="D39" s="52" t="s">
        <v>386</v>
      </c>
      <c r="E39" s="52" t="s">
        <v>370</v>
      </c>
      <c r="F39" s="52">
        <v>44256</v>
      </c>
      <c r="G39" s="52">
        <v>44347</v>
      </c>
      <c r="H39" s="50">
        <f>((G39-F39)/7)/4.3</f>
        <v>3.0232558139534884</v>
      </c>
      <c r="I39" s="182">
        <v>52095</v>
      </c>
      <c r="J39" s="53"/>
      <c r="K39" s="53"/>
      <c r="L39" s="53"/>
      <c r="M39" s="53"/>
      <c r="N39" s="53"/>
      <c r="O39" s="47"/>
      <c r="P39" s="115"/>
      <c r="Q39" s="47"/>
      <c r="R39" s="115"/>
      <c r="S39" s="115"/>
      <c r="T39" s="115">
        <v>0</v>
      </c>
      <c r="U39" s="210">
        <v>15000</v>
      </c>
      <c r="V39" s="210">
        <v>20000</v>
      </c>
      <c r="W39" s="210">
        <v>17095</v>
      </c>
      <c r="X39" s="53"/>
      <c r="Y39" s="53"/>
      <c r="Z39" s="53"/>
      <c r="AA39" s="53"/>
      <c r="AB39" s="53"/>
      <c r="AC39" s="53"/>
      <c r="AD39" s="47"/>
      <c r="AE39" s="53"/>
      <c r="AF39" s="53"/>
      <c r="AG39" s="47"/>
      <c r="AH39" s="53">
        <f>SUM(P39:AG39)</f>
        <v>52095</v>
      </c>
      <c r="AI39" s="51"/>
      <c r="AJ39" s="55">
        <f t="shared" si="2"/>
        <v>0</v>
      </c>
    </row>
    <row r="40" spans="1:36" s="36" customFormat="1" ht="15.75" x14ac:dyDescent="0.25">
      <c r="A40" s="34"/>
      <c r="B40" s="34" t="s">
        <v>491</v>
      </c>
      <c r="C40" s="52"/>
      <c r="D40" s="52"/>
      <c r="E40" s="52"/>
      <c r="F40" s="52"/>
      <c r="G40" s="52"/>
      <c r="H40" s="50"/>
      <c r="I40" s="182"/>
      <c r="J40" s="53"/>
      <c r="K40" s="53"/>
      <c r="L40" s="53"/>
      <c r="M40" s="53"/>
      <c r="N40" s="53"/>
      <c r="O40" s="47"/>
      <c r="P40" s="115"/>
      <c r="Q40" s="47"/>
      <c r="R40" s="115"/>
      <c r="S40" s="115"/>
      <c r="T40" s="115"/>
      <c r="U40" s="210"/>
      <c r="V40" s="210"/>
      <c r="W40" s="210"/>
      <c r="X40" s="53"/>
      <c r="Y40" s="53"/>
      <c r="Z40" s="53"/>
      <c r="AA40" s="53"/>
      <c r="AB40" s="53"/>
      <c r="AC40" s="53"/>
      <c r="AD40" s="47"/>
      <c r="AE40" s="53"/>
      <c r="AF40" s="53"/>
      <c r="AG40" s="47"/>
      <c r="AH40" s="53"/>
      <c r="AI40" s="51"/>
      <c r="AJ40" s="55"/>
    </row>
    <row r="41" spans="1:36" s="36" customFormat="1" ht="15.75" x14ac:dyDescent="0.25">
      <c r="A41" s="34"/>
      <c r="B41" s="34" t="s">
        <v>492</v>
      </c>
      <c r="C41" s="52"/>
      <c r="D41" s="52"/>
      <c r="E41" s="52"/>
      <c r="F41" s="52"/>
      <c r="G41" s="52"/>
      <c r="H41" s="50"/>
      <c r="I41" s="182"/>
      <c r="J41" s="53"/>
      <c r="K41" s="53"/>
      <c r="L41" s="53"/>
      <c r="M41" s="53"/>
      <c r="N41" s="53"/>
      <c r="O41" s="47"/>
      <c r="P41" s="115"/>
      <c r="Q41" s="47"/>
      <c r="R41" s="115"/>
      <c r="S41" s="115"/>
      <c r="T41" s="115"/>
      <c r="U41" s="210"/>
      <c r="V41" s="210"/>
      <c r="W41" s="210"/>
      <c r="X41" s="53"/>
      <c r="Y41" s="53"/>
      <c r="Z41" s="53"/>
      <c r="AA41" s="53"/>
      <c r="AB41" s="53"/>
      <c r="AC41" s="53"/>
      <c r="AD41" s="47"/>
      <c r="AE41" s="53"/>
      <c r="AF41" s="53"/>
      <c r="AG41" s="47"/>
      <c r="AH41" s="53"/>
      <c r="AI41" s="51"/>
      <c r="AJ41" s="55"/>
    </row>
    <row r="42" spans="1:36" s="36" customFormat="1" ht="15.75" x14ac:dyDescent="0.25">
      <c r="A42" s="34"/>
      <c r="B42" s="34" t="s">
        <v>494</v>
      </c>
      <c r="C42" s="52"/>
      <c r="D42" s="52"/>
      <c r="E42" s="52"/>
      <c r="F42" s="52"/>
      <c r="G42" s="52"/>
      <c r="H42" s="50"/>
      <c r="I42" s="182"/>
      <c r="J42" s="53"/>
      <c r="K42" s="53"/>
      <c r="L42" s="53"/>
      <c r="M42" s="53"/>
      <c r="N42" s="53"/>
      <c r="O42" s="47"/>
      <c r="P42" s="115"/>
      <c r="Q42" s="47"/>
      <c r="R42" s="115"/>
      <c r="S42" s="115"/>
      <c r="T42" s="115"/>
      <c r="U42" s="210"/>
      <c r="V42" s="210"/>
      <c r="W42" s="210"/>
      <c r="X42" s="53"/>
      <c r="Y42" s="53"/>
      <c r="Z42" s="53"/>
      <c r="AA42" s="53"/>
      <c r="AB42" s="53"/>
      <c r="AC42" s="53"/>
      <c r="AD42" s="47"/>
      <c r="AE42" s="53"/>
      <c r="AF42" s="53"/>
      <c r="AG42" s="47"/>
      <c r="AH42" s="53"/>
      <c r="AI42" s="51"/>
      <c r="AJ42" s="55"/>
    </row>
    <row r="43" spans="1:36" s="36" customFormat="1" ht="15.75" x14ac:dyDescent="0.25">
      <c r="A43" s="34"/>
      <c r="B43" s="34" t="s">
        <v>493</v>
      </c>
      <c r="C43" s="52"/>
      <c r="D43" s="52"/>
      <c r="E43" s="52"/>
      <c r="F43" s="52"/>
      <c r="G43" s="52"/>
      <c r="H43" s="50"/>
      <c r="I43" s="182"/>
      <c r="J43" s="53"/>
      <c r="K43" s="53"/>
      <c r="L43" s="53"/>
      <c r="M43" s="53"/>
      <c r="N43" s="53"/>
      <c r="O43" s="47"/>
      <c r="P43" s="115"/>
      <c r="Q43" s="47"/>
      <c r="R43" s="115"/>
      <c r="S43" s="115"/>
      <c r="T43" s="115"/>
      <c r="U43" s="210"/>
      <c r="V43" s="210"/>
      <c r="W43" s="210"/>
      <c r="X43" s="53"/>
      <c r="Y43" s="53"/>
      <c r="Z43" s="53"/>
      <c r="AA43" s="53"/>
      <c r="AB43" s="53"/>
      <c r="AC43" s="53"/>
      <c r="AD43" s="47"/>
      <c r="AE43" s="53"/>
      <c r="AF43" s="53"/>
      <c r="AG43" s="47"/>
      <c r="AH43" s="53"/>
      <c r="AI43" s="51"/>
      <c r="AJ43" s="55"/>
    </row>
    <row r="44" spans="1:36" s="36" customFormat="1" ht="15.75" x14ac:dyDescent="0.25">
      <c r="A44" s="94"/>
      <c r="B44" s="96"/>
      <c r="C44" s="91"/>
      <c r="D44" s="91"/>
      <c r="E44" s="91"/>
      <c r="F44" s="91"/>
      <c r="G44" s="91"/>
      <c r="H44" s="92"/>
      <c r="I44" s="59">
        <f>SUM(I39)</f>
        <v>52095</v>
      </c>
      <c r="J44" s="59"/>
      <c r="K44" s="59"/>
      <c r="L44" s="59"/>
      <c r="M44" s="59"/>
      <c r="N44" s="59"/>
      <c r="O44" s="47"/>
      <c r="P44" s="59">
        <f>SUM(P39)</f>
        <v>0</v>
      </c>
      <c r="Q44" s="47"/>
      <c r="R44" s="59">
        <f>SUM(R39)</f>
        <v>0</v>
      </c>
      <c r="S44" s="59">
        <f t="shared" ref="S44:AC44" si="10">SUM(S39)</f>
        <v>0</v>
      </c>
      <c r="T44" s="59">
        <f t="shared" si="10"/>
        <v>0</v>
      </c>
      <c r="U44" s="59">
        <f t="shared" si="10"/>
        <v>15000</v>
      </c>
      <c r="V44" s="59">
        <f t="shared" si="10"/>
        <v>20000</v>
      </c>
      <c r="W44" s="59">
        <f t="shared" si="10"/>
        <v>17095</v>
      </c>
      <c r="X44" s="59">
        <f t="shared" si="10"/>
        <v>0</v>
      </c>
      <c r="Y44" s="59">
        <f t="shared" si="10"/>
        <v>0</v>
      </c>
      <c r="Z44" s="59">
        <f t="shared" si="10"/>
        <v>0</v>
      </c>
      <c r="AA44" s="59">
        <f t="shared" si="10"/>
        <v>0</v>
      </c>
      <c r="AB44" s="59">
        <f t="shared" si="10"/>
        <v>0</v>
      </c>
      <c r="AC44" s="59">
        <f t="shared" si="10"/>
        <v>0</v>
      </c>
      <c r="AD44" s="47"/>
      <c r="AE44" s="59">
        <f>SUM(AE39)</f>
        <v>0</v>
      </c>
      <c r="AF44" s="59">
        <f>SUM(AF26:AF39)</f>
        <v>0</v>
      </c>
      <c r="AG44" s="47"/>
      <c r="AH44" s="53">
        <f>SUM(P44:AG44)</f>
        <v>52095</v>
      </c>
      <c r="AI44" s="51"/>
      <c r="AJ44" s="55">
        <f t="shared" si="2"/>
        <v>0</v>
      </c>
    </row>
    <row r="45" spans="1:36" s="36" customFormat="1" ht="15.75" x14ac:dyDescent="0.25">
      <c r="A45" s="106" t="s">
        <v>119</v>
      </c>
      <c r="B45" s="107"/>
      <c r="C45" s="101" t="s">
        <v>387</v>
      </c>
      <c r="D45" s="102"/>
      <c r="E45" s="102"/>
      <c r="F45" s="102"/>
      <c r="G45" s="102"/>
      <c r="H45" s="84"/>
      <c r="I45" s="193" t="s">
        <v>444</v>
      </c>
      <c r="J45" s="103"/>
      <c r="K45" s="103"/>
      <c r="L45" s="103"/>
      <c r="M45" s="103"/>
      <c r="N45" s="103"/>
      <c r="O45" s="47"/>
      <c r="P45" s="85"/>
      <c r="Q45" s="47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47"/>
      <c r="AE45" s="103"/>
      <c r="AF45" s="103"/>
      <c r="AG45" s="47"/>
      <c r="AH45" s="85"/>
      <c r="AI45" s="51"/>
      <c r="AJ45" s="55" t="e">
        <f t="shared" si="2"/>
        <v>#VALUE!</v>
      </c>
    </row>
    <row r="46" spans="1:36" s="36" customFormat="1" ht="15.75" x14ac:dyDescent="0.25">
      <c r="A46" s="56" t="s">
        <v>284</v>
      </c>
      <c r="B46" s="57" t="s">
        <v>421</v>
      </c>
      <c r="C46" s="52" t="s">
        <v>387</v>
      </c>
      <c r="D46" s="52" t="s">
        <v>402</v>
      </c>
      <c r="E46" s="52" t="s">
        <v>370</v>
      </c>
      <c r="F46" s="52"/>
      <c r="G46" s="52"/>
      <c r="H46" s="50">
        <f t="shared" ref="H46:H60" si="11">((G46-F46)/7)/4.3</f>
        <v>0</v>
      </c>
      <c r="I46" s="182">
        <v>604799</v>
      </c>
      <c r="J46" s="53"/>
      <c r="K46" s="53"/>
      <c r="L46" s="53"/>
      <c r="M46" s="53"/>
      <c r="N46" s="53"/>
      <c r="O46" s="47"/>
      <c r="P46" s="115">
        <v>568347</v>
      </c>
      <c r="Q46" s="47"/>
      <c r="R46" s="115">
        <v>879</v>
      </c>
      <c r="S46" s="115">
        <v>35573</v>
      </c>
      <c r="T46" s="115">
        <v>656</v>
      </c>
      <c r="U46" s="115">
        <v>0</v>
      </c>
      <c r="V46" s="89"/>
      <c r="W46" s="89"/>
      <c r="X46" s="89"/>
      <c r="Y46" s="89"/>
      <c r="Z46" s="89"/>
      <c r="AA46" s="58"/>
      <c r="AB46" s="58"/>
      <c r="AC46" s="58"/>
      <c r="AD46" s="47"/>
      <c r="AE46" s="53"/>
      <c r="AF46" s="53"/>
      <c r="AG46" s="47"/>
      <c r="AH46" s="53">
        <f>SUM(P46:AG46)</f>
        <v>605455</v>
      </c>
      <c r="AI46" s="51"/>
      <c r="AJ46" s="55">
        <f>I46-AH46</f>
        <v>-656</v>
      </c>
    </row>
    <row r="47" spans="1:36" s="36" customFormat="1" ht="15.75" x14ac:dyDescent="0.25">
      <c r="A47" s="56" t="s">
        <v>116</v>
      </c>
      <c r="B47" s="57" t="s">
        <v>117</v>
      </c>
      <c r="C47" s="52" t="s">
        <v>387</v>
      </c>
      <c r="D47" s="52" t="s">
        <v>402</v>
      </c>
      <c r="E47" s="52" t="s">
        <v>370</v>
      </c>
      <c r="F47" s="52">
        <v>44075</v>
      </c>
      <c r="G47" s="52">
        <v>44286</v>
      </c>
      <c r="H47" s="50">
        <f t="shared" si="11"/>
        <v>7.0099667774086383</v>
      </c>
      <c r="I47" s="182">
        <v>940687</v>
      </c>
      <c r="J47" s="53"/>
      <c r="K47" s="53"/>
      <c r="L47" s="53"/>
      <c r="M47" s="53"/>
      <c r="N47" s="53"/>
      <c r="O47" s="47"/>
      <c r="P47" s="115">
        <v>720455</v>
      </c>
      <c r="Q47" s="47"/>
      <c r="R47" s="115">
        <v>114649</v>
      </c>
      <c r="S47" s="115"/>
      <c r="T47" s="115">
        <v>105583</v>
      </c>
      <c r="U47" s="115"/>
      <c r="V47" s="89"/>
      <c r="W47" s="89"/>
      <c r="X47" s="89"/>
      <c r="Y47" s="89"/>
      <c r="Z47" s="89"/>
      <c r="AA47" s="58"/>
      <c r="AB47" s="58"/>
      <c r="AC47" s="58"/>
      <c r="AD47" s="47"/>
      <c r="AE47" s="53"/>
      <c r="AF47" s="53"/>
      <c r="AG47" s="47"/>
      <c r="AH47" s="53">
        <f>SUM(P47:AG47)</f>
        <v>940687</v>
      </c>
      <c r="AI47" s="51"/>
      <c r="AJ47" s="55">
        <f t="shared" ref="AJ47:AJ60" si="12">I47-AH47</f>
        <v>0</v>
      </c>
    </row>
    <row r="48" spans="1:36" s="36" customFormat="1" ht="15.75" x14ac:dyDescent="0.25">
      <c r="A48" s="64" t="s">
        <v>121</v>
      </c>
      <c r="B48" s="65" t="s">
        <v>122</v>
      </c>
      <c r="C48" s="52" t="s">
        <v>387</v>
      </c>
      <c r="D48" s="52" t="s">
        <v>402</v>
      </c>
      <c r="E48" s="52" t="s">
        <v>370</v>
      </c>
      <c r="F48" s="52">
        <v>44136</v>
      </c>
      <c r="G48" s="52">
        <v>44286</v>
      </c>
      <c r="H48" s="50">
        <f t="shared" si="11"/>
        <v>4.9833887043189371</v>
      </c>
      <c r="I48" s="211">
        <v>226188</v>
      </c>
      <c r="J48" s="53">
        <v>819670</v>
      </c>
      <c r="K48" s="53"/>
      <c r="L48" s="53"/>
      <c r="M48" s="53"/>
      <c r="N48" s="53"/>
      <c r="O48" s="47"/>
      <c r="P48" s="115">
        <v>64622</v>
      </c>
      <c r="Q48" s="47"/>
      <c r="R48" s="115">
        <v>39562</v>
      </c>
      <c r="S48" s="115">
        <v>18328</v>
      </c>
      <c r="T48" s="115">
        <v>101052</v>
      </c>
      <c r="U48" s="209">
        <v>2623.99</v>
      </c>
      <c r="V48" s="53"/>
      <c r="W48" s="53"/>
      <c r="X48" s="53"/>
      <c r="Y48" s="53"/>
      <c r="Z48" s="53"/>
      <c r="AA48" s="53"/>
      <c r="AB48" s="53"/>
      <c r="AC48" s="53"/>
      <c r="AD48" s="47"/>
      <c r="AE48" s="53"/>
      <c r="AF48" s="53"/>
      <c r="AG48" s="47"/>
      <c r="AH48" s="53">
        <f t="shared" ref="AH48:AH102" si="13">SUM(P48:AG48)</f>
        <v>226187.99</v>
      </c>
      <c r="AI48" s="51"/>
      <c r="AJ48" s="55">
        <f t="shared" si="12"/>
        <v>1.0000000009313226E-2</v>
      </c>
    </row>
    <row r="49" spans="1:36" s="36" customFormat="1" ht="15.75" x14ac:dyDescent="0.25">
      <c r="A49" s="64" t="s">
        <v>124</v>
      </c>
      <c r="B49" s="65" t="s">
        <v>125</v>
      </c>
      <c r="C49" s="52" t="s">
        <v>387</v>
      </c>
      <c r="D49" s="52" t="s">
        <v>402</v>
      </c>
      <c r="E49" s="52" t="s">
        <v>370</v>
      </c>
      <c r="F49" s="52">
        <v>44136</v>
      </c>
      <c r="G49" s="52">
        <v>44286</v>
      </c>
      <c r="H49" s="50">
        <f t="shared" si="11"/>
        <v>4.9833887043189371</v>
      </c>
      <c r="I49" s="182">
        <v>314022</v>
      </c>
      <c r="J49" s="53"/>
      <c r="K49" s="53"/>
      <c r="L49" s="53"/>
      <c r="M49" s="53"/>
      <c r="N49" s="53"/>
      <c r="O49" s="47"/>
      <c r="P49" s="115">
        <v>124791</v>
      </c>
      <c r="Q49" s="47"/>
      <c r="R49" s="115">
        <v>64927</v>
      </c>
      <c r="S49" s="115">
        <v>25844</v>
      </c>
      <c r="T49" s="115">
        <v>98461</v>
      </c>
      <c r="U49" s="209">
        <v>1940</v>
      </c>
      <c r="V49" s="53"/>
      <c r="W49" s="53"/>
      <c r="X49" s="53"/>
      <c r="Y49" s="53"/>
      <c r="Z49" s="53"/>
      <c r="AA49" s="53"/>
      <c r="AB49" s="53"/>
      <c r="AC49" s="53"/>
      <c r="AD49" s="47"/>
      <c r="AE49" s="53"/>
      <c r="AF49" s="53"/>
      <c r="AG49" s="47"/>
      <c r="AH49" s="53">
        <f t="shared" si="13"/>
        <v>315963</v>
      </c>
      <c r="AI49" s="51"/>
      <c r="AJ49" s="55">
        <f t="shared" si="12"/>
        <v>-1941</v>
      </c>
    </row>
    <row r="50" spans="1:36" s="36" customFormat="1" ht="15.75" x14ac:dyDescent="0.25">
      <c r="A50" s="64" t="s">
        <v>127</v>
      </c>
      <c r="B50" s="65" t="s">
        <v>396</v>
      </c>
      <c r="C50" s="52" t="s">
        <v>387</v>
      </c>
      <c r="D50" s="52" t="s">
        <v>402</v>
      </c>
      <c r="E50" s="52" t="s">
        <v>370</v>
      </c>
      <c r="F50" s="52">
        <v>44272</v>
      </c>
      <c r="G50" s="52">
        <v>44362</v>
      </c>
      <c r="H50" s="50">
        <f t="shared" si="11"/>
        <v>2.9900332225913622</v>
      </c>
      <c r="I50" s="182">
        <v>383545</v>
      </c>
      <c r="J50" s="53">
        <v>142789</v>
      </c>
      <c r="K50" s="53"/>
      <c r="L50" s="53"/>
      <c r="M50" s="53"/>
      <c r="N50" s="53"/>
      <c r="O50" s="47"/>
      <c r="P50" s="115"/>
      <c r="Q50" s="47"/>
      <c r="R50" s="115"/>
      <c r="S50" s="115"/>
      <c r="T50" s="115">
        <v>0</v>
      </c>
      <c r="U50" s="209">
        <v>118932.08</v>
      </c>
      <c r="V50" s="54">
        <f>208545+56068</f>
        <v>264613</v>
      </c>
      <c r="W50" s="53"/>
      <c r="X50" s="53"/>
      <c r="Y50" s="53"/>
      <c r="Z50" s="53"/>
      <c r="AA50" s="53"/>
      <c r="AB50" s="53"/>
      <c r="AC50" s="53"/>
      <c r="AD50" s="47"/>
      <c r="AE50" s="53"/>
      <c r="AF50" s="53"/>
      <c r="AG50" s="47"/>
      <c r="AH50" s="53">
        <f t="shared" si="13"/>
        <v>383545.08</v>
      </c>
      <c r="AI50" s="51"/>
      <c r="AJ50" s="55">
        <f t="shared" si="12"/>
        <v>-8.0000000016298145E-2</v>
      </c>
    </row>
    <row r="51" spans="1:36" s="36" customFormat="1" ht="15.75" x14ac:dyDescent="0.25">
      <c r="A51" s="64" t="s">
        <v>129</v>
      </c>
      <c r="B51" s="65" t="s">
        <v>130</v>
      </c>
      <c r="C51" s="52" t="s">
        <v>387</v>
      </c>
      <c r="D51" s="52" t="s">
        <v>402</v>
      </c>
      <c r="E51" s="52" t="s">
        <v>370</v>
      </c>
      <c r="F51" s="52">
        <v>44136</v>
      </c>
      <c r="G51" s="52">
        <v>44408</v>
      </c>
      <c r="H51" s="50">
        <f t="shared" si="11"/>
        <v>9.0365448504983377</v>
      </c>
      <c r="I51" s="182">
        <v>1809504</v>
      </c>
      <c r="J51" s="53">
        <v>272772</v>
      </c>
      <c r="K51" s="53"/>
      <c r="L51" s="53"/>
      <c r="M51" s="53"/>
      <c r="N51" s="53"/>
      <c r="O51" s="47"/>
      <c r="P51" s="115">
        <v>407476</v>
      </c>
      <c r="Q51" s="47"/>
      <c r="R51" s="115">
        <v>214131</v>
      </c>
      <c r="S51" s="115">
        <v>74131</v>
      </c>
      <c r="T51" s="115">
        <v>135778</v>
      </c>
      <c r="U51" s="209">
        <v>437831.75</v>
      </c>
      <c r="V51" s="54">
        <f>250000-79277.33</f>
        <v>170722.66999999998</v>
      </c>
      <c r="W51" s="54">
        <f>275000-79277.33</f>
        <v>195722.66999999998</v>
      </c>
      <c r="X51" s="54">
        <f>252988-79277.33</f>
        <v>173710.66999999998</v>
      </c>
      <c r="Y51" s="53"/>
      <c r="Z51" s="53"/>
      <c r="AA51" s="53"/>
      <c r="AB51" s="53"/>
      <c r="AC51" s="53"/>
      <c r="AD51" s="47"/>
      <c r="AE51" s="53"/>
      <c r="AF51" s="53"/>
      <c r="AG51" s="47"/>
      <c r="AH51" s="53">
        <f t="shared" si="13"/>
        <v>1809503.7599999998</v>
      </c>
      <c r="AI51" s="51"/>
      <c r="AJ51" s="55">
        <f t="shared" si="12"/>
        <v>0.24000000022351742</v>
      </c>
    </row>
    <row r="52" spans="1:36" s="36" customFormat="1" ht="15.75" x14ac:dyDescent="0.25">
      <c r="A52" s="64" t="s">
        <v>134</v>
      </c>
      <c r="B52" s="65" t="s">
        <v>135</v>
      </c>
      <c r="C52" s="52" t="s">
        <v>387</v>
      </c>
      <c r="D52" s="52" t="s">
        <v>403</v>
      </c>
      <c r="E52" s="52" t="s">
        <v>370</v>
      </c>
      <c r="F52" s="52">
        <v>44228</v>
      </c>
      <c r="G52" s="52">
        <v>44429</v>
      </c>
      <c r="H52" s="50">
        <f t="shared" si="11"/>
        <v>6.6777408637873759</v>
      </c>
      <c r="I52" s="182">
        <v>1006579</v>
      </c>
      <c r="J52" s="53"/>
      <c r="K52" s="53"/>
      <c r="L52" s="53"/>
      <c r="M52" s="53"/>
      <c r="N52" s="53"/>
      <c r="O52" s="47"/>
      <c r="P52" s="115">
        <v>131243</v>
      </c>
      <c r="Q52" s="47"/>
      <c r="R52" s="115"/>
      <c r="S52" s="115"/>
      <c r="T52" s="115">
        <v>0</v>
      </c>
      <c r="U52" s="115"/>
      <c r="V52" s="115">
        <f>200000+100000</f>
        <v>300000</v>
      </c>
      <c r="W52" s="54">
        <f>200000+100000</f>
        <v>300000</v>
      </c>
      <c r="X52" s="54">
        <v>150362</v>
      </c>
      <c r="Y52" s="54">
        <v>124974</v>
      </c>
      <c r="Z52" s="53"/>
      <c r="AA52" s="53"/>
      <c r="AB52" s="53"/>
      <c r="AC52" s="53"/>
      <c r="AD52" s="47"/>
      <c r="AE52" s="53"/>
      <c r="AF52" s="53"/>
      <c r="AG52" s="47"/>
      <c r="AH52" s="53">
        <f t="shared" si="13"/>
        <v>1006579</v>
      </c>
      <c r="AI52" s="51"/>
      <c r="AJ52" s="55">
        <f t="shared" si="12"/>
        <v>0</v>
      </c>
    </row>
    <row r="53" spans="1:36" s="36" customFormat="1" ht="15.75" x14ac:dyDescent="0.25">
      <c r="A53" s="64" t="s">
        <v>139</v>
      </c>
      <c r="B53" s="65" t="s">
        <v>140</v>
      </c>
      <c r="C53" s="52" t="s">
        <v>387</v>
      </c>
      <c r="D53" s="87" t="s">
        <v>45</v>
      </c>
      <c r="E53" s="52" t="s">
        <v>370</v>
      </c>
      <c r="F53" s="52">
        <v>44224</v>
      </c>
      <c r="G53" s="52">
        <v>44464</v>
      </c>
      <c r="H53" s="50">
        <f t="shared" si="11"/>
        <v>7.9734219269102988</v>
      </c>
      <c r="I53" s="182">
        <v>1639962</v>
      </c>
      <c r="J53" s="53"/>
      <c r="K53" s="53"/>
      <c r="L53" s="53"/>
      <c r="M53" s="53"/>
      <c r="N53" s="53"/>
      <c r="O53" s="47"/>
      <c r="P53" s="115">
        <v>103605</v>
      </c>
      <c r="Q53" s="47"/>
      <c r="R53" s="115"/>
      <c r="S53" s="115">
        <v>71204</v>
      </c>
      <c r="T53" s="115">
        <v>158532</v>
      </c>
      <c r="U53" s="209">
        <v>124183.45</v>
      </c>
      <c r="V53" s="54">
        <f>250000+37500</f>
        <v>287500</v>
      </c>
      <c r="W53" s="54">
        <f>250000+37500</f>
        <v>287500</v>
      </c>
      <c r="X53" s="54">
        <f>241468+817</f>
        <v>242285</v>
      </c>
      <c r="Y53" s="54">
        <v>200000</v>
      </c>
      <c r="Z53" s="54">
        <v>165153</v>
      </c>
      <c r="AA53" s="53"/>
      <c r="AB53" s="53"/>
      <c r="AC53" s="53"/>
      <c r="AD53" s="47"/>
      <c r="AE53" s="53"/>
      <c r="AF53" s="53"/>
      <c r="AG53" s="47"/>
      <c r="AH53" s="53">
        <f t="shared" si="13"/>
        <v>1639962.45</v>
      </c>
      <c r="AI53" s="51"/>
      <c r="AJ53" s="55">
        <f t="shared" si="12"/>
        <v>-0.44999999995343387</v>
      </c>
    </row>
    <row r="54" spans="1:36" s="36" customFormat="1" ht="15.75" x14ac:dyDescent="0.25">
      <c r="A54" s="64" t="s">
        <v>143</v>
      </c>
      <c r="B54" s="65" t="s">
        <v>145</v>
      </c>
      <c r="C54" s="52" t="s">
        <v>387</v>
      </c>
      <c r="D54" s="87" t="s">
        <v>389</v>
      </c>
      <c r="E54" s="52" t="s">
        <v>320</v>
      </c>
      <c r="F54" s="52">
        <v>44461</v>
      </c>
      <c r="G54" s="52">
        <v>44701</v>
      </c>
      <c r="H54" s="50">
        <f t="shared" si="11"/>
        <v>7.9734219269102988</v>
      </c>
      <c r="I54" s="53">
        <v>600000</v>
      </c>
      <c r="J54" s="53">
        <v>1339023</v>
      </c>
      <c r="K54" s="53"/>
      <c r="L54" s="53"/>
      <c r="M54" s="53"/>
      <c r="N54" s="53"/>
      <c r="O54" s="47"/>
      <c r="P54" s="115"/>
      <c r="Q54" s="47"/>
      <c r="R54" s="115"/>
      <c r="S54" s="115"/>
      <c r="T54" s="115">
        <v>0</v>
      </c>
      <c r="U54" s="115"/>
      <c r="V54" s="58"/>
      <c r="W54" s="58"/>
      <c r="X54" s="58"/>
      <c r="Y54" s="54">
        <v>150000</v>
      </c>
      <c r="Z54" s="54">
        <v>150000</v>
      </c>
      <c r="AA54" s="54">
        <v>150000</v>
      </c>
      <c r="AB54" s="54">
        <v>150000</v>
      </c>
      <c r="AC54" s="58"/>
      <c r="AD54" s="47"/>
      <c r="AE54" s="53"/>
      <c r="AF54" s="53"/>
      <c r="AG54" s="47"/>
      <c r="AH54" s="53">
        <f t="shared" si="13"/>
        <v>600000</v>
      </c>
      <c r="AI54" s="51"/>
      <c r="AJ54" s="55">
        <f t="shared" si="12"/>
        <v>0</v>
      </c>
    </row>
    <row r="55" spans="1:36" s="36" customFormat="1" ht="15.75" x14ac:dyDescent="0.25">
      <c r="A55" s="64" t="s">
        <v>147</v>
      </c>
      <c r="B55" s="65" t="s">
        <v>423</v>
      </c>
      <c r="C55" s="52" t="s">
        <v>387</v>
      </c>
      <c r="D55" s="87" t="s">
        <v>45</v>
      </c>
      <c r="E55" s="52" t="s">
        <v>320</v>
      </c>
      <c r="F55" s="52">
        <v>44461</v>
      </c>
      <c r="G55" s="52">
        <v>44701</v>
      </c>
      <c r="H55" s="50">
        <f>((G55-F55)/7)/4.3</f>
        <v>7.9734219269102988</v>
      </c>
      <c r="I55" s="53">
        <v>750000</v>
      </c>
      <c r="J55" s="53"/>
      <c r="K55" s="53"/>
      <c r="L55" s="53"/>
      <c r="M55" s="53"/>
      <c r="N55" s="53"/>
      <c r="O55" s="47"/>
      <c r="P55" s="115"/>
      <c r="Q55" s="47"/>
      <c r="R55" s="115"/>
      <c r="S55" s="115"/>
      <c r="T55" s="115"/>
      <c r="U55" s="115"/>
      <c r="V55" s="89"/>
      <c r="W55" s="89"/>
      <c r="X55" s="89"/>
      <c r="Y55" s="54">
        <v>150000</v>
      </c>
      <c r="Z55" s="54">
        <v>150000</v>
      </c>
      <c r="AA55" s="54">
        <v>150000</v>
      </c>
      <c r="AB55" s="54">
        <v>150000</v>
      </c>
      <c r="AC55" s="54">
        <v>150000</v>
      </c>
      <c r="AD55" s="47"/>
      <c r="AE55" s="54"/>
      <c r="AF55" s="53"/>
      <c r="AG55" s="47"/>
      <c r="AH55" s="53">
        <f>SUM(P55:AG55)</f>
        <v>750000</v>
      </c>
      <c r="AI55" s="51"/>
      <c r="AJ55" s="55">
        <f t="shared" si="12"/>
        <v>0</v>
      </c>
    </row>
    <row r="56" spans="1:36" s="36" customFormat="1" ht="15.75" x14ac:dyDescent="0.25">
      <c r="A56" s="64" t="s">
        <v>150</v>
      </c>
      <c r="B56" s="65" t="s">
        <v>151</v>
      </c>
      <c r="C56" s="52" t="s">
        <v>387</v>
      </c>
      <c r="D56" s="87" t="s">
        <v>45</v>
      </c>
      <c r="E56" s="52" t="s">
        <v>320</v>
      </c>
      <c r="F56" s="52">
        <v>44461</v>
      </c>
      <c r="G56" s="52">
        <v>44701</v>
      </c>
      <c r="H56" s="50">
        <f t="shared" si="11"/>
        <v>7.9734219269102988</v>
      </c>
      <c r="I56" s="53">
        <v>1736318</v>
      </c>
      <c r="J56" s="53"/>
      <c r="K56" s="53"/>
      <c r="L56" s="53"/>
      <c r="M56" s="53"/>
      <c r="N56" s="53"/>
      <c r="O56" s="47"/>
      <c r="P56" s="115"/>
      <c r="Q56" s="47"/>
      <c r="R56" s="115"/>
      <c r="S56" s="115"/>
      <c r="T56" s="115"/>
      <c r="U56" s="115"/>
      <c r="V56" s="53"/>
      <c r="W56" s="54">
        <v>100000</v>
      </c>
      <c r="X56" s="54">
        <v>150000</v>
      </c>
      <c r="Y56" s="54">
        <v>175000</v>
      </c>
      <c r="Z56" s="54">
        <v>200000</v>
      </c>
      <c r="AA56" s="54">
        <v>200000</v>
      </c>
      <c r="AB56" s="54">
        <v>200000</v>
      </c>
      <c r="AC56" s="54">
        <v>200000</v>
      </c>
      <c r="AD56" s="47"/>
      <c r="AE56" s="54">
        <v>511318</v>
      </c>
      <c r="AF56" s="53"/>
      <c r="AG56" s="47"/>
      <c r="AH56" s="53">
        <f t="shared" si="13"/>
        <v>1736318</v>
      </c>
      <c r="AI56" s="51"/>
      <c r="AJ56" s="55">
        <f t="shared" si="12"/>
        <v>0</v>
      </c>
    </row>
    <row r="57" spans="1:36" s="36" customFormat="1" ht="15.75" x14ac:dyDescent="0.25">
      <c r="A57" s="64" t="s">
        <v>153</v>
      </c>
      <c r="B57" s="65" t="s">
        <v>424</v>
      </c>
      <c r="C57" s="52" t="s">
        <v>387</v>
      </c>
      <c r="D57" s="87" t="s">
        <v>45</v>
      </c>
      <c r="E57" s="52" t="s">
        <v>320</v>
      </c>
      <c r="F57" s="52">
        <v>44461</v>
      </c>
      <c r="G57" s="52">
        <v>44701</v>
      </c>
      <c r="H57" s="50">
        <f t="shared" si="11"/>
        <v>7.9734219269102988</v>
      </c>
      <c r="I57" s="53">
        <v>376000</v>
      </c>
      <c r="J57" s="53"/>
      <c r="K57" s="53"/>
      <c r="L57" s="53"/>
      <c r="M57" s="53"/>
      <c r="N57" s="53"/>
      <c r="O57" s="47"/>
      <c r="P57" s="115"/>
      <c r="Q57" s="47"/>
      <c r="R57" s="115"/>
      <c r="S57" s="115"/>
      <c r="T57" s="115"/>
      <c r="U57" s="115"/>
      <c r="V57" s="89"/>
      <c r="W57" s="89"/>
      <c r="X57" s="89"/>
      <c r="Y57" s="54">
        <v>50000</v>
      </c>
      <c r="Z57" s="54">
        <v>75000</v>
      </c>
      <c r="AA57" s="54">
        <v>75000</v>
      </c>
      <c r="AB57" s="54">
        <v>75000</v>
      </c>
      <c r="AC57" s="54">
        <v>75000</v>
      </c>
      <c r="AD57" s="47">
        <v>0</v>
      </c>
      <c r="AE57" s="54">
        <v>26000</v>
      </c>
      <c r="AF57" s="53"/>
      <c r="AG57" s="47"/>
      <c r="AH57" s="53">
        <f t="shared" si="13"/>
        <v>376000</v>
      </c>
      <c r="AI57" s="51"/>
      <c r="AJ57" s="55">
        <f t="shared" si="12"/>
        <v>0</v>
      </c>
    </row>
    <row r="58" spans="1:36" s="36" customFormat="1" ht="15.75" x14ac:dyDescent="0.25">
      <c r="A58" s="64" t="s">
        <v>425</v>
      </c>
      <c r="B58" s="65" t="s">
        <v>426</v>
      </c>
      <c r="C58" s="52" t="s">
        <v>387</v>
      </c>
      <c r="D58" s="87" t="s">
        <v>45</v>
      </c>
      <c r="E58" s="52" t="s">
        <v>320</v>
      </c>
      <c r="F58" s="52">
        <v>44461</v>
      </c>
      <c r="G58" s="52">
        <v>44701</v>
      </c>
      <c r="H58" s="50">
        <f t="shared" si="11"/>
        <v>7.9734219269102988</v>
      </c>
      <c r="I58" s="53">
        <v>376000</v>
      </c>
      <c r="J58" s="53"/>
      <c r="K58" s="53"/>
      <c r="L58" s="53"/>
      <c r="M58" s="53"/>
      <c r="N58" s="53"/>
      <c r="O58" s="47"/>
      <c r="P58" s="115"/>
      <c r="Q58" s="47"/>
      <c r="R58" s="115"/>
      <c r="S58" s="115"/>
      <c r="T58" s="115"/>
      <c r="U58" s="115"/>
      <c r="V58" s="89"/>
      <c r="W58" s="89"/>
      <c r="X58" s="89"/>
      <c r="Y58" s="54">
        <v>50000</v>
      </c>
      <c r="Z58" s="54">
        <v>75000</v>
      </c>
      <c r="AA58" s="54">
        <v>75000</v>
      </c>
      <c r="AB58" s="54">
        <v>75000</v>
      </c>
      <c r="AC58" s="54">
        <v>75000</v>
      </c>
      <c r="AD58" s="47"/>
      <c r="AE58" s="54">
        <v>26000</v>
      </c>
      <c r="AF58" s="53"/>
      <c r="AG58" s="47"/>
      <c r="AH58" s="53">
        <f t="shared" si="13"/>
        <v>376000</v>
      </c>
      <c r="AI58" s="51"/>
      <c r="AJ58" s="55">
        <f t="shared" si="12"/>
        <v>0</v>
      </c>
    </row>
    <row r="59" spans="1:36" s="36" customFormat="1" ht="15.75" x14ac:dyDescent="0.25">
      <c r="A59" s="64" t="s">
        <v>156</v>
      </c>
      <c r="B59" s="65" t="s">
        <v>427</v>
      </c>
      <c r="C59" s="52" t="s">
        <v>387</v>
      </c>
      <c r="D59" s="87" t="s">
        <v>45</v>
      </c>
      <c r="E59" s="52" t="s">
        <v>320</v>
      </c>
      <c r="F59" s="52">
        <v>44461</v>
      </c>
      <c r="G59" s="52">
        <v>44762</v>
      </c>
      <c r="H59" s="50">
        <f t="shared" si="11"/>
        <v>10</v>
      </c>
      <c r="I59" s="53">
        <v>1700000</v>
      </c>
      <c r="J59" s="53"/>
      <c r="K59" s="53"/>
      <c r="L59" s="53"/>
      <c r="M59" s="53"/>
      <c r="N59" s="53"/>
      <c r="O59" s="47"/>
      <c r="P59" s="115"/>
      <c r="Q59" s="47"/>
      <c r="R59" s="115"/>
      <c r="S59" s="115"/>
      <c r="T59" s="115"/>
      <c r="U59" s="115"/>
      <c r="V59" s="89"/>
      <c r="W59" s="89"/>
      <c r="X59" s="89"/>
      <c r="Y59" s="54">
        <v>75000</v>
      </c>
      <c r="Z59" s="54">
        <v>125000</v>
      </c>
      <c r="AA59" s="54">
        <v>200000</v>
      </c>
      <c r="AB59" s="54">
        <v>200000</v>
      </c>
      <c r="AC59" s="54">
        <v>200000</v>
      </c>
      <c r="AD59" s="47"/>
      <c r="AE59" s="54">
        <v>900000</v>
      </c>
      <c r="AF59" s="53"/>
      <c r="AG59" s="47"/>
      <c r="AH59" s="53">
        <f t="shared" si="13"/>
        <v>1700000</v>
      </c>
      <c r="AI59" s="51"/>
      <c r="AJ59" s="55">
        <f t="shared" si="12"/>
        <v>0</v>
      </c>
    </row>
    <row r="60" spans="1:36" s="36" customFormat="1" ht="15.75" x14ac:dyDescent="0.25">
      <c r="A60" s="64" t="s">
        <v>159</v>
      </c>
      <c r="B60" s="65" t="s">
        <v>428</v>
      </c>
      <c r="C60" s="52" t="s">
        <v>387</v>
      </c>
      <c r="D60" s="87" t="s">
        <v>45</v>
      </c>
      <c r="E60" s="52" t="s">
        <v>320</v>
      </c>
      <c r="F60" s="52">
        <v>44461</v>
      </c>
      <c r="G60" s="52">
        <v>44701</v>
      </c>
      <c r="H60" s="50">
        <f t="shared" si="11"/>
        <v>7.9734219269102988</v>
      </c>
      <c r="I60" s="53">
        <v>225000</v>
      </c>
      <c r="J60" s="53"/>
      <c r="K60" s="53"/>
      <c r="L60" s="53"/>
      <c r="M60" s="53"/>
      <c r="N60" s="53"/>
      <c r="O60" s="47"/>
      <c r="P60" s="115"/>
      <c r="Q60" s="47"/>
      <c r="R60" s="115"/>
      <c r="S60" s="115"/>
      <c r="T60" s="115"/>
      <c r="U60" s="115"/>
      <c r="V60" s="89"/>
      <c r="W60" s="89"/>
      <c r="X60" s="89"/>
      <c r="Y60" s="58"/>
      <c r="Z60" s="54">
        <v>50000</v>
      </c>
      <c r="AA60" s="54">
        <v>50000</v>
      </c>
      <c r="AB60" s="54">
        <v>50000</v>
      </c>
      <c r="AC60" s="54">
        <v>50000</v>
      </c>
      <c r="AD60" s="47"/>
      <c r="AE60" s="54">
        <v>25000</v>
      </c>
      <c r="AF60" s="53"/>
      <c r="AG60" s="47"/>
      <c r="AH60" s="53">
        <f t="shared" si="13"/>
        <v>225000</v>
      </c>
      <c r="AI60" s="51"/>
      <c r="AJ60" s="55">
        <f t="shared" si="12"/>
        <v>0</v>
      </c>
    </row>
    <row r="61" spans="1:36" s="36" customFormat="1" ht="15.75" x14ac:dyDescent="0.25">
      <c r="A61" s="97"/>
      <c r="B61" s="98"/>
      <c r="C61" s="91"/>
      <c r="D61" s="91"/>
      <c r="E61" s="91"/>
      <c r="F61" s="91"/>
      <c r="G61" s="91"/>
      <c r="H61" s="92"/>
      <c r="I61" s="59">
        <f>SUM(I46:I60)</f>
        <v>12688604</v>
      </c>
      <c r="J61" s="59">
        <f t="shared" ref="J61:AF61" si="14">SUM(J46:J60)</f>
        <v>2574254</v>
      </c>
      <c r="K61" s="59">
        <f t="shared" si="14"/>
        <v>0</v>
      </c>
      <c r="L61" s="59">
        <f t="shared" si="14"/>
        <v>0</v>
      </c>
      <c r="M61" s="59">
        <f t="shared" si="14"/>
        <v>0</v>
      </c>
      <c r="N61" s="59">
        <f t="shared" si="14"/>
        <v>0</v>
      </c>
      <c r="O61" s="47"/>
      <c r="P61" s="59">
        <f t="shared" si="14"/>
        <v>2120539</v>
      </c>
      <c r="Q61" s="47"/>
      <c r="R61" s="59">
        <f t="shared" si="14"/>
        <v>434148</v>
      </c>
      <c r="S61" s="59">
        <f t="shared" si="14"/>
        <v>225080</v>
      </c>
      <c r="T61" s="59">
        <f t="shared" si="14"/>
        <v>600062</v>
      </c>
      <c r="U61" s="59">
        <f t="shared" si="14"/>
        <v>685511.27</v>
      </c>
      <c r="V61" s="59">
        <f t="shared" si="14"/>
        <v>1022835.6699999999</v>
      </c>
      <c r="W61" s="59">
        <f t="shared" si="14"/>
        <v>883222.66999999993</v>
      </c>
      <c r="X61" s="59">
        <f t="shared" si="14"/>
        <v>716357.66999999993</v>
      </c>
      <c r="Y61" s="59">
        <f t="shared" si="14"/>
        <v>974974</v>
      </c>
      <c r="Z61" s="59">
        <f t="shared" si="14"/>
        <v>990153</v>
      </c>
      <c r="AA61" s="59">
        <f t="shared" si="14"/>
        <v>900000</v>
      </c>
      <c r="AB61" s="59">
        <f t="shared" si="14"/>
        <v>900000</v>
      </c>
      <c r="AC61" s="59">
        <f t="shared" si="14"/>
        <v>750000</v>
      </c>
      <c r="AD61" s="47"/>
      <c r="AE61" s="59">
        <f t="shared" si="14"/>
        <v>1488318</v>
      </c>
      <c r="AF61" s="59">
        <f t="shared" si="14"/>
        <v>0</v>
      </c>
      <c r="AG61" s="47"/>
      <c r="AH61" s="53">
        <f t="shared" si="13"/>
        <v>12691201.279999999</v>
      </c>
      <c r="AI61" s="51"/>
      <c r="AJ61" s="55">
        <f t="shared" si="2"/>
        <v>-2597.2799999993294</v>
      </c>
    </row>
    <row r="62" spans="1:36" s="36" customFormat="1" ht="15.75" x14ac:dyDescent="0.25">
      <c r="A62" s="106" t="s">
        <v>73</v>
      </c>
      <c r="B62" s="107"/>
      <c r="C62" s="101" t="s">
        <v>45</v>
      </c>
      <c r="D62" s="102"/>
      <c r="E62" s="102"/>
      <c r="F62" s="102"/>
      <c r="G62" s="102"/>
      <c r="H62" s="84"/>
      <c r="I62" s="193" t="s">
        <v>444</v>
      </c>
      <c r="J62" s="103"/>
      <c r="K62" s="103"/>
      <c r="L62" s="103"/>
      <c r="M62" s="103"/>
      <c r="N62" s="103"/>
      <c r="O62" s="47"/>
      <c r="P62" s="85"/>
      <c r="Q62" s="47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47"/>
      <c r="AE62" s="103"/>
      <c r="AF62" s="103"/>
      <c r="AG62" s="47"/>
      <c r="AH62" s="85"/>
      <c r="AI62" s="51"/>
      <c r="AJ62" s="55"/>
    </row>
    <row r="63" spans="1:36" s="36" customFormat="1" ht="15.75" x14ac:dyDescent="0.25">
      <c r="A63" s="60" t="s">
        <v>430</v>
      </c>
      <c r="B63" s="61" t="s">
        <v>431</v>
      </c>
      <c r="C63" s="52" t="s">
        <v>45</v>
      </c>
      <c r="D63" s="52" t="s">
        <v>45</v>
      </c>
      <c r="E63" s="52" t="s">
        <v>320</v>
      </c>
      <c r="F63" s="52"/>
      <c r="G63" s="52"/>
      <c r="H63" s="50"/>
      <c r="I63" s="53">
        <v>61092</v>
      </c>
      <c r="J63" s="53"/>
      <c r="K63" s="53"/>
      <c r="L63" s="53"/>
      <c r="M63" s="53"/>
      <c r="N63" s="53"/>
      <c r="O63" s="47"/>
      <c r="P63" s="115">
        <v>61092</v>
      </c>
      <c r="Q63" s="47"/>
      <c r="R63" s="115"/>
      <c r="S63" s="115"/>
      <c r="T63" s="115"/>
      <c r="U63" s="58"/>
      <c r="V63" s="58"/>
      <c r="W63" s="58"/>
      <c r="X63" s="58"/>
      <c r="Y63" s="58"/>
      <c r="Z63" s="58"/>
      <c r="AA63" s="58"/>
      <c r="AB63" s="58"/>
      <c r="AC63" s="58"/>
      <c r="AD63" s="47"/>
      <c r="AE63" s="58"/>
      <c r="AF63" s="53"/>
      <c r="AG63" s="47"/>
      <c r="AH63" s="53">
        <f t="shared" si="13"/>
        <v>61092</v>
      </c>
      <c r="AI63" s="51"/>
      <c r="AJ63" s="55">
        <f>I63-AH63</f>
        <v>0</v>
      </c>
    </row>
    <row r="64" spans="1:36" s="36" customFormat="1" ht="15.75" x14ac:dyDescent="0.25">
      <c r="A64" s="60" t="s">
        <v>432</v>
      </c>
      <c r="B64" s="61" t="s">
        <v>433</v>
      </c>
      <c r="C64" s="52" t="s">
        <v>45</v>
      </c>
      <c r="D64" s="52" t="s">
        <v>45</v>
      </c>
      <c r="E64" s="52" t="s">
        <v>320</v>
      </c>
      <c r="F64" s="52"/>
      <c r="G64" s="52"/>
      <c r="H64" s="50"/>
      <c r="I64" s="53">
        <v>61092</v>
      </c>
      <c r="J64" s="53"/>
      <c r="K64" s="53"/>
      <c r="L64" s="53"/>
      <c r="M64" s="53"/>
      <c r="N64" s="53"/>
      <c r="O64" s="47"/>
      <c r="P64" s="115">
        <v>61092</v>
      </c>
      <c r="Q64" s="47"/>
      <c r="R64" s="115"/>
      <c r="S64" s="115"/>
      <c r="T64" s="115"/>
      <c r="U64" s="58"/>
      <c r="V64" s="58"/>
      <c r="W64" s="58"/>
      <c r="X64" s="58"/>
      <c r="Y64" s="58"/>
      <c r="Z64" s="58"/>
      <c r="AA64" s="58"/>
      <c r="AB64" s="58"/>
      <c r="AC64" s="58"/>
      <c r="AD64" s="47"/>
      <c r="AE64" s="58"/>
      <c r="AF64" s="53"/>
      <c r="AG64" s="47"/>
      <c r="AH64" s="53">
        <f t="shared" si="13"/>
        <v>61092</v>
      </c>
      <c r="AI64" s="51"/>
      <c r="AJ64" s="55">
        <f t="shared" ref="AJ64:AJ69" si="15">I64-AH64</f>
        <v>0</v>
      </c>
    </row>
    <row r="65" spans="1:36" s="36" customFormat="1" ht="15.75" x14ac:dyDescent="0.25">
      <c r="A65" s="60" t="s">
        <v>161</v>
      </c>
      <c r="B65" s="61" t="s">
        <v>163</v>
      </c>
      <c r="C65" s="52" t="s">
        <v>45</v>
      </c>
      <c r="D65" s="52" t="s">
        <v>45</v>
      </c>
      <c r="E65" s="52" t="s">
        <v>320</v>
      </c>
      <c r="F65" s="52" t="s">
        <v>165</v>
      </c>
      <c r="G65" s="52" t="s">
        <v>165</v>
      </c>
      <c r="H65" s="50" t="s">
        <v>165</v>
      </c>
      <c r="I65" s="86" t="s">
        <v>165</v>
      </c>
      <c r="J65" s="53"/>
      <c r="K65" s="53"/>
      <c r="L65" s="53"/>
      <c r="M65" s="53"/>
      <c r="N65" s="53"/>
      <c r="O65" s="47"/>
      <c r="P65" s="115"/>
      <c r="Q65" s="47"/>
      <c r="R65" s="115"/>
      <c r="S65" s="115"/>
      <c r="T65" s="115"/>
      <c r="U65" s="58"/>
      <c r="V65" s="58"/>
      <c r="W65" s="58"/>
      <c r="X65" s="58"/>
      <c r="Y65" s="58"/>
      <c r="Z65" s="58"/>
      <c r="AA65" s="58"/>
      <c r="AB65" s="58"/>
      <c r="AC65" s="58"/>
      <c r="AD65" s="47"/>
      <c r="AE65" s="58"/>
      <c r="AF65" s="53"/>
      <c r="AG65" s="47"/>
      <c r="AH65" s="53">
        <f t="shared" si="13"/>
        <v>0</v>
      </c>
      <c r="AI65" s="51"/>
      <c r="AJ65" s="124" t="s">
        <v>165</v>
      </c>
    </row>
    <row r="66" spans="1:36" s="36" customFormat="1" ht="15.75" x14ac:dyDescent="0.25">
      <c r="A66" s="34" t="s">
        <v>170</v>
      </c>
      <c r="B66" s="35" t="s">
        <v>171</v>
      </c>
      <c r="C66" s="52" t="s">
        <v>45</v>
      </c>
      <c r="D66" s="52" t="s">
        <v>371</v>
      </c>
      <c r="E66" s="52" t="s">
        <v>320</v>
      </c>
      <c r="F66" s="52">
        <v>44319</v>
      </c>
      <c r="G66" s="52">
        <v>44559</v>
      </c>
      <c r="H66" s="50">
        <f>((G66-F66)/7)/4.3</f>
        <v>7.9734219269102988</v>
      </c>
      <c r="I66" s="182">
        <v>975000</v>
      </c>
      <c r="J66" s="53"/>
      <c r="K66" s="53"/>
      <c r="L66" s="53"/>
      <c r="M66" s="53"/>
      <c r="N66" s="53"/>
      <c r="O66" s="47"/>
      <c r="P66" s="115"/>
      <c r="Q66" s="47"/>
      <c r="R66" s="115"/>
      <c r="S66" s="115"/>
      <c r="T66" s="115">
        <v>0</v>
      </c>
      <c r="U66" s="58"/>
      <c r="V66" s="54">
        <v>100000</v>
      </c>
      <c r="W66" s="54">
        <v>125000</v>
      </c>
      <c r="X66" s="54">
        <v>150000</v>
      </c>
      <c r="Y66" s="54">
        <v>150000</v>
      </c>
      <c r="Z66" s="54">
        <v>150000</v>
      </c>
      <c r="AA66" s="54">
        <v>150000</v>
      </c>
      <c r="AB66" s="54">
        <v>150000</v>
      </c>
      <c r="AC66" s="54"/>
      <c r="AD66" s="47"/>
      <c r="AE66" s="53"/>
      <c r="AF66" s="53"/>
      <c r="AG66" s="47"/>
      <c r="AH66" s="53">
        <f>SUM(P66:AG66)</f>
        <v>975000</v>
      </c>
      <c r="AI66" s="51"/>
      <c r="AJ66" s="55">
        <f t="shared" si="15"/>
        <v>0</v>
      </c>
    </row>
    <row r="67" spans="1:36" s="36" customFormat="1" ht="15.75" x14ac:dyDescent="0.25">
      <c r="A67" s="64" t="s">
        <v>434</v>
      </c>
      <c r="B67" s="65" t="s">
        <v>435</v>
      </c>
      <c r="C67" s="52" t="s">
        <v>45</v>
      </c>
      <c r="D67" s="52" t="s">
        <v>45</v>
      </c>
      <c r="E67" s="52" t="s">
        <v>320</v>
      </c>
      <c r="F67" s="52" t="s">
        <v>319</v>
      </c>
      <c r="G67" s="52" t="s">
        <v>319</v>
      </c>
      <c r="H67" s="50"/>
      <c r="I67" s="189">
        <v>461956</v>
      </c>
      <c r="J67" s="53"/>
      <c r="K67" s="53"/>
      <c r="L67" s="53"/>
      <c r="M67" s="53"/>
      <c r="N67" s="53"/>
      <c r="O67" s="47"/>
      <c r="P67" s="115"/>
      <c r="Q67" s="47"/>
      <c r="R67" s="115">
        <v>353138</v>
      </c>
      <c r="S67" s="115">
        <v>108818</v>
      </c>
      <c r="T67" s="115"/>
      <c r="U67" s="53"/>
      <c r="V67" s="53"/>
      <c r="W67" s="53"/>
      <c r="X67" s="53"/>
      <c r="Y67" s="53"/>
      <c r="Z67" s="53"/>
      <c r="AA67" s="53"/>
      <c r="AB67" s="53"/>
      <c r="AC67" s="53"/>
      <c r="AD67" s="47"/>
      <c r="AE67" s="53"/>
      <c r="AF67" s="53"/>
      <c r="AG67" s="47"/>
      <c r="AH67" s="53">
        <f>SUM(P67:AG67)</f>
        <v>461956</v>
      </c>
      <c r="AI67" s="51"/>
      <c r="AJ67" s="55">
        <f t="shared" si="15"/>
        <v>0</v>
      </c>
    </row>
    <row r="68" spans="1:36" s="36" customFormat="1" ht="15.75" x14ac:dyDescent="0.25">
      <c r="A68" s="111" t="s">
        <v>174</v>
      </c>
      <c r="B68" s="112" t="s">
        <v>175</v>
      </c>
      <c r="C68" s="52" t="s">
        <v>45</v>
      </c>
      <c r="D68" s="52" t="s">
        <v>371</v>
      </c>
      <c r="E68" s="52" t="s">
        <v>320</v>
      </c>
      <c r="F68" s="52">
        <v>44317</v>
      </c>
      <c r="G68" s="52">
        <v>44497</v>
      </c>
      <c r="H68" s="50">
        <f>((G68-F68)/7)/4.3</f>
        <v>5.9800664451827243</v>
      </c>
      <c r="I68" s="53">
        <v>900000</v>
      </c>
      <c r="J68" s="53"/>
      <c r="K68" s="53"/>
      <c r="L68" s="53"/>
      <c r="M68" s="53"/>
      <c r="N68" s="53"/>
      <c r="O68" s="47"/>
      <c r="P68" s="115"/>
      <c r="Q68" s="47"/>
      <c r="R68" s="115"/>
      <c r="S68" s="115"/>
      <c r="T68" s="115"/>
      <c r="U68" s="53"/>
      <c r="V68" s="58"/>
      <c r="W68" s="54">
        <v>75000</v>
      </c>
      <c r="X68" s="54">
        <v>125000</v>
      </c>
      <c r="Y68" s="54">
        <v>125000</v>
      </c>
      <c r="Z68" s="54">
        <v>150000</v>
      </c>
      <c r="AA68" s="54">
        <v>150000</v>
      </c>
      <c r="AB68" s="54">
        <v>150000</v>
      </c>
      <c r="AC68" s="54">
        <v>125000</v>
      </c>
      <c r="AD68" s="47"/>
      <c r="AE68" s="58"/>
      <c r="AF68" s="53"/>
      <c r="AG68" s="47"/>
      <c r="AH68" s="53">
        <f>SUM(P68:AG68)</f>
        <v>900000</v>
      </c>
      <c r="AI68" s="51"/>
      <c r="AJ68" s="55">
        <f t="shared" si="15"/>
        <v>0</v>
      </c>
    </row>
    <row r="69" spans="1:36" s="36" customFormat="1" ht="15.75" x14ac:dyDescent="0.25">
      <c r="A69" s="113" t="s">
        <v>176</v>
      </c>
      <c r="B69" s="114" t="s">
        <v>177</v>
      </c>
      <c r="C69" s="52" t="s">
        <v>45</v>
      </c>
      <c r="D69" s="52" t="s">
        <v>371</v>
      </c>
      <c r="E69" s="52" t="s">
        <v>320</v>
      </c>
      <c r="F69" s="52">
        <v>44331</v>
      </c>
      <c r="G69" s="52">
        <v>44511</v>
      </c>
      <c r="H69" s="50">
        <f>((G69-F69)/7)/4.3</f>
        <v>5.9800664451827243</v>
      </c>
      <c r="I69" s="53">
        <v>175000</v>
      </c>
      <c r="J69" s="53"/>
      <c r="K69" s="53"/>
      <c r="L69" s="53"/>
      <c r="M69" s="53"/>
      <c r="N69" s="53"/>
      <c r="O69" s="47"/>
      <c r="P69" s="115"/>
      <c r="Q69" s="47"/>
      <c r="R69" s="115"/>
      <c r="S69" s="115"/>
      <c r="T69" s="115"/>
      <c r="U69" s="53"/>
      <c r="V69" s="54">
        <v>25000</v>
      </c>
      <c r="W69" s="54">
        <f t="shared" ref="W69:AB69" si="16">200000/8</f>
        <v>25000</v>
      </c>
      <c r="X69" s="54">
        <f t="shared" si="16"/>
        <v>25000</v>
      </c>
      <c r="Y69" s="54">
        <f t="shared" si="16"/>
        <v>25000</v>
      </c>
      <c r="Z69" s="54">
        <f t="shared" si="16"/>
        <v>25000</v>
      </c>
      <c r="AA69" s="54">
        <f t="shared" si="16"/>
        <v>25000</v>
      </c>
      <c r="AB69" s="54">
        <f t="shared" si="16"/>
        <v>25000</v>
      </c>
      <c r="AC69" s="58"/>
      <c r="AD69" s="47"/>
      <c r="AE69" s="58"/>
      <c r="AF69" s="53"/>
      <c r="AG69" s="47"/>
      <c r="AH69" s="53">
        <f>SUM(P69:AG69)</f>
        <v>175000</v>
      </c>
      <c r="AI69" s="51"/>
      <c r="AJ69" s="55">
        <f t="shared" si="15"/>
        <v>0</v>
      </c>
    </row>
    <row r="70" spans="1:36" s="36" customFormat="1" ht="15.75" x14ac:dyDescent="0.25">
      <c r="A70" s="179" t="s">
        <v>178</v>
      </c>
      <c r="B70" s="180" t="s">
        <v>179</v>
      </c>
      <c r="C70" s="52" t="s">
        <v>45</v>
      </c>
      <c r="D70" s="52" t="s">
        <v>371</v>
      </c>
      <c r="E70" s="52" t="s">
        <v>320</v>
      </c>
      <c r="F70" s="52">
        <v>44331</v>
      </c>
      <c r="G70" s="52">
        <v>44511</v>
      </c>
      <c r="H70" s="50">
        <f>((G70-F70)/7)/4.3</f>
        <v>5.9800664451827243</v>
      </c>
      <c r="I70" s="86" t="s">
        <v>165</v>
      </c>
      <c r="J70" s="53"/>
      <c r="K70" s="53"/>
      <c r="L70" s="53"/>
      <c r="M70" s="53"/>
      <c r="N70" s="53"/>
      <c r="O70" s="47"/>
      <c r="P70" s="115"/>
      <c r="Q70" s="47"/>
      <c r="R70" s="115"/>
      <c r="S70" s="115"/>
      <c r="T70" s="115"/>
      <c r="U70" s="53"/>
      <c r="V70" s="58"/>
      <c r="W70" s="58"/>
      <c r="X70" s="58"/>
      <c r="Y70" s="58"/>
      <c r="Z70" s="58"/>
      <c r="AA70" s="58"/>
      <c r="AB70" s="54"/>
      <c r="AC70" s="54"/>
      <c r="AD70" s="47"/>
      <c r="AE70" s="54"/>
      <c r="AF70" s="53"/>
      <c r="AG70" s="47"/>
      <c r="AH70" s="53">
        <f>SUM(P70:AG70)</f>
        <v>0</v>
      </c>
      <c r="AI70" s="51"/>
      <c r="AJ70" s="124" t="s">
        <v>165</v>
      </c>
    </row>
    <row r="71" spans="1:36" s="36" customFormat="1" ht="15.75" x14ac:dyDescent="0.25">
      <c r="A71" s="62" t="s">
        <v>180</v>
      </c>
      <c r="B71" s="63" t="s">
        <v>182</v>
      </c>
      <c r="C71" s="52" t="s">
        <v>45</v>
      </c>
      <c r="D71" s="52" t="s">
        <v>45</v>
      </c>
      <c r="E71" s="52" t="s">
        <v>320</v>
      </c>
      <c r="F71" s="52">
        <v>44371</v>
      </c>
      <c r="G71" s="52">
        <v>44431</v>
      </c>
      <c r="H71" s="50">
        <f t="shared" ref="H71:H80" si="17">((G71-F71)/7)/4.3</f>
        <v>1.9933554817275747</v>
      </c>
      <c r="I71" s="53">
        <v>400000</v>
      </c>
      <c r="J71" s="53"/>
      <c r="K71" s="53"/>
      <c r="L71" s="53"/>
      <c r="M71" s="53"/>
      <c r="N71" s="53"/>
      <c r="O71" s="47"/>
      <c r="P71" s="115"/>
      <c r="Q71" s="47"/>
      <c r="R71" s="115"/>
      <c r="S71" s="115"/>
      <c r="T71" s="115"/>
      <c r="U71" s="58"/>
      <c r="V71" s="54">
        <v>125000</v>
      </c>
      <c r="W71" s="54">
        <v>150000</v>
      </c>
      <c r="X71" s="54">
        <v>125000</v>
      </c>
      <c r="Y71" s="53"/>
      <c r="Z71" s="53"/>
      <c r="AA71" s="53"/>
      <c r="AB71" s="53"/>
      <c r="AC71" s="53"/>
      <c r="AD71" s="47"/>
      <c r="AE71" s="53"/>
      <c r="AF71" s="53"/>
      <c r="AG71" s="47"/>
      <c r="AH71" s="53">
        <f t="shared" si="13"/>
        <v>400000</v>
      </c>
      <c r="AI71" s="51"/>
      <c r="AJ71" s="55">
        <f t="shared" ref="AJ71:AJ105" si="18">I71-AH71</f>
        <v>0</v>
      </c>
    </row>
    <row r="72" spans="1:36" s="36" customFormat="1" ht="15.75" x14ac:dyDescent="0.25">
      <c r="A72" s="34" t="s">
        <v>325</v>
      </c>
      <c r="B72" s="35" t="s">
        <v>418</v>
      </c>
      <c r="C72" s="52" t="s">
        <v>380</v>
      </c>
      <c r="D72" s="52" t="s">
        <v>381</v>
      </c>
      <c r="E72" s="52" t="s">
        <v>320</v>
      </c>
      <c r="F72" s="52" t="s">
        <v>319</v>
      </c>
      <c r="G72" s="52" t="s">
        <v>319</v>
      </c>
      <c r="H72" s="52" t="s">
        <v>319</v>
      </c>
      <c r="I72" s="86">
        <v>15630</v>
      </c>
      <c r="J72" s="53"/>
      <c r="K72" s="53"/>
      <c r="L72" s="53"/>
      <c r="M72" s="53"/>
      <c r="N72" s="53"/>
      <c r="O72" s="47"/>
      <c r="P72" s="115"/>
      <c r="Q72" s="47"/>
      <c r="R72" s="115"/>
      <c r="S72" s="115">
        <v>15630</v>
      </c>
      <c r="T72" s="115"/>
      <c r="U72" s="58"/>
      <c r="V72" s="58"/>
      <c r="W72" s="53"/>
      <c r="X72" s="53"/>
      <c r="Y72" s="53"/>
      <c r="Z72" s="53"/>
      <c r="AA72" s="53"/>
      <c r="AB72" s="53"/>
      <c r="AC72" s="53"/>
      <c r="AD72" s="47"/>
      <c r="AE72" s="53"/>
      <c r="AF72" s="53"/>
      <c r="AG72" s="47"/>
      <c r="AH72" s="53">
        <f>SUM(P72:AG72)</f>
        <v>15630</v>
      </c>
      <c r="AI72" s="51"/>
      <c r="AJ72" s="55">
        <f>I72-AH72</f>
        <v>0</v>
      </c>
    </row>
    <row r="73" spans="1:36" s="36" customFormat="1" ht="15.75" x14ac:dyDescent="0.25">
      <c r="A73" s="34" t="s">
        <v>328</v>
      </c>
      <c r="B73" s="35" t="s">
        <v>419</v>
      </c>
      <c r="C73" s="52" t="s">
        <v>380</v>
      </c>
      <c r="D73" s="52" t="s">
        <v>381</v>
      </c>
      <c r="E73" s="52" t="s">
        <v>320</v>
      </c>
      <c r="F73" s="52" t="s">
        <v>319</v>
      </c>
      <c r="G73" s="52" t="s">
        <v>319</v>
      </c>
      <c r="H73" s="52" t="s">
        <v>319</v>
      </c>
      <c r="I73" s="86">
        <v>5720</v>
      </c>
      <c r="J73" s="53"/>
      <c r="K73" s="53"/>
      <c r="L73" s="53"/>
      <c r="M73" s="53"/>
      <c r="N73" s="53"/>
      <c r="O73" s="47"/>
      <c r="P73" s="115"/>
      <c r="Q73" s="47"/>
      <c r="R73" s="115"/>
      <c r="S73" s="115">
        <v>5720</v>
      </c>
      <c r="T73" s="115"/>
      <c r="U73" s="58"/>
      <c r="V73" s="58"/>
      <c r="W73" s="53"/>
      <c r="X73" s="53"/>
      <c r="Y73" s="53"/>
      <c r="Z73" s="53"/>
      <c r="AA73" s="53"/>
      <c r="AB73" s="53"/>
      <c r="AC73" s="53"/>
      <c r="AD73" s="47"/>
      <c r="AE73" s="53"/>
      <c r="AF73" s="53"/>
      <c r="AG73" s="47"/>
      <c r="AH73" s="53">
        <f>SUM(P73:AG73)</f>
        <v>5720</v>
      </c>
      <c r="AI73" s="51"/>
      <c r="AJ73" s="55">
        <f>I73-AH73</f>
        <v>0</v>
      </c>
    </row>
    <row r="74" spans="1:36" s="36" customFormat="1" ht="15.75" x14ac:dyDescent="0.25">
      <c r="A74" s="34" t="s">
        <v>185</v>
      </c>
      <c r="B74" s="35" t="s">
        <v>186</v>
      </c>
      <c r="C74" s="52" t="s">
        <v>45</v>
      </c>
      <c r="D74" s="52" t="s">
        <v>45</v>
      </c>
      <c r="E74" s="52" t="s">
        <v>320</v>
      </c>
      <c r="F74" s="52">
        <v>44372</v>
      </c>
      <c r="G74" s="52">
        <v>44673</v>
      </c>
      <c r="H74" s="50">
        <f t="shared" si="17"/>
        <v>10</v>
      </c>
      <c r="I74" s="53">
        <v>1750000</v>
      </c>
      <c r="J74" s="53"/>
      <c r="K74" s="53"/>
      <c r="L74" s="53"/>
      <c r="M74" s="53"/>
      <c r="N74" s="53"/>
      <c r="O74" s="47"/>
      <c r="P74" s="115"/>
      <c r="Q74" s="47"/>
      <c r="R74" s="115"/>
      <c r="S74" s="115"/>
      <c r="T74" s="115"/>
      <c r="U74" s="53"/>
      <c r="V74" s="54">
        <v>100000</v>
      </c>
      <c r="W74" s="54">
        <v>150000</v>
      </c>
      <c r="X74" s="54">
        <v>150000</v>
      </c>
      <c r="Y74" s="54">
        <v>150000</v>
      </c>
      <c r="Z74" s="54">
        <v>150000</v>
      </c>
      <c r="AA74" s="54">
        <v>200000</v>
      </c>
      <c r="AB74" s="54">
        <v>200000</v>
      </c>
      <c r="AC74" s="54">
        <v>200000</v>
      </c>
      <c r="AD74" s="47"/>
      <c r="AE74" s="54">
        <v>450000</v>
      </c>
      <c r="AF74" s="53"/>
      <c r="AG74" s="47"/>
      <c r="AH74" s="53">
        <f t="shared" si="13"/>
        <v>1750000</v>
      </c>
      <c r="AI74" s="51"/>
      <c r="AJ74" s="55">
        <f t="shared" si="18"/>
        <v>0</v>
      </c>
    </row>
    <row r="75" spans="1:36" s="36" customFormat="1" ht="15.75" x14ac:dyDescent="0.25">
      <c r="A75" s="34" t="s">
        <v>187</v>
      </c>
      <c r="B75" s="35" t="s">
        <v>188</v>
      </c>
      <c r="C75" s="52" t="s">
        <v>45</v>
      </c>
      <c r="D75" s="52" t="s">
        <v>45</v>
      </c>
      <c r="E75" s="52" t="s">
        <v>320</v>
      </c>
      <c r="F75" s="52">
        <v>44409</v>
      </c>
      <c r="G75" s="52">
        <v>44649</v>
      </c>
      <c r="H75" s="50">
        <f t="shared" si="17"/>
        <v>7.9734219269102988</v>
      </c>
      <c r="I75" s="53">
        <v>1500000</v>
      </c>
      <c r="J75" s="53"/>
      <c r="K75" s="53"/>
      <c r="L75" s="53"/>
      <c r="M75" s="53"/>
      <c r="N75" s="53"/>
      <c r="O75" s="47"/>
      <c r="P75" s="115"/>
      <c r="Q75" s="47"/>
      <c r="R75" s="115"/>
      <c r="S75" s="115"/>
      <c r="T75" s="115"/>
      <c r="U75" s="53"/>
      <c r="V75" s="53"/>
      <c r="W75" s="58"/>
      <c r="X75" s="58"/>
      <c r="Y75" s="54">
        <v>125000</v>
      </c>
      <c r="Z75" s="54">
        <v>175000</v>
      </c>
      <c r="AA75" s="54">
        <v>200000</v>
      </c>
      <c r="AB75" s="54">
        <v>200000</v>
      </c>
      <c r="AC75" s="54">
        <v>200000</v>
      </c>
      <c r="AD75" s="47"/>
      <c r="AE75" s="54">
        <v>600000</v>
      </c>
      <c r="AF75" s="53"/>
      <c r="AG75" s="47"/>
      <c r="AH75" s="53">
        <f t="shared" si="13"/>
        <v>1500000</v>
      </c>
      <c r="AI75" s="51"/>
      <c r="AJ75" s="55">
        <f t="shared" si="18"/>
        <v>0</v>
      </c>
    </row>
    <row r="76" spans="1:36" s="36" customFormat="1" ht="15.75" x14ac:dyDescent="0.25">
      <c r="A76" s="34" t="s">
        <v>191</v>
      </c>
      <c r="B76" s="35" t="s">
        <v>192</v>
      </c>
      <c r="C76" s="52" t="s">
        <v>45</v>
      </c>
      <c r="D76" s="52" t="s">
        <v>45</v>
      </c>
      <c r="E76" s="52" t="s">
        <v>320</v>
      </c>
      <c r="F76" s="52">
        <v>44470</v>
      </c>
      <c r="G76" s="52">
        <v>44831</v>
      </c>
      <c r="H76" s="50">
        <f t="shared" si="17"/>
        <v>11.993355481727574</v>
      </c>
      <c r="I76" s="53">
        <v>4000000</v>
      </c>
      <c r="J76" s="53"/>
      <c r="K76" s="53"/>
      <c r="L76" s="53"/>
      <c r="M76" s="53"/>
      <c r="N76" s="53"/>
      <c r="O76" s="47"/>
      <c r="P76" s="115"/>
      <c r="Q76" s="47"/>
      <c r="R76" s="115"/>
      <c r="S76" s="115"/>
      <c r="T76" s="115"/>
      <c r="U76" s="53"/>
      <c r="V76" s="53"/>
      <c r="W76" s="58"/>
      <c r="X76" s="58"/>
      <c r="Y76" s="58"/>
      <c r="Z76" s="58"/>
      <c r="AA76" s="54">
        <v>800000</v>
      </c>
      <c r="AB76" s="54">
        <v>800000</v>
      </c>
      <c r="AC76" s="54">
        <v>800000</v>
      </c>
      <c r="AD76" s="47"/>
      <c r="AE76" s="54">
        <v>1600000</v>
      </c>
      <c r="AF76" s="53"/>
      <c r="AG76" s="47"/>
      <c r="AH76" s="53">
        <f t="shared" si="13"/>
        <v>4000000</v>
      </c>
      <c r="AI76" s="51"/>
      <c r="AJ76" s="55">
        <f t="shared" si="18"/>
        <v>0</v>
      </c>
    </row>
    <row r="77" spans="1:36" s="36" customFormat="1" ht="15.75" x14ac:dyDescent="0.25">
      <c r="A77" s="34" t="s">
        <v>194</v>
      </c>
      <c r="B77" s="35" t="s">
        <v>397</v>
      </c>
      <c r="C77" s="52" t="s">
        <v>45</v>
      </c>
      <c r="D77" s="52" t="s">
        <v>45</v>
      </c>
      <c r="E77" s="52" t="s">
        <v>320</v>
      </c>
      <c r="F77" s="52">
        <v>44403</v>
      </c>
      <c r="G77" s="52">
        <v>44704</v>
      </c>
      <c r="H77" s="50">
        <f t="shared" si="17"/>
        <v>10</v>
      </c>
      <c r="I77" s="53">
        <v>3000000</v>
      </c>
      <c r="J77" s="53"/>
      <c r="K77" s="53"/>
      <c r="L77" s="53"/>
      <c r="M77" s="53"/>
      <c r="N77" s="53"/>
      <c r="O77" s="47"/>
      <c r="P77" s="115"/>
      <c r="Q77" s="47"/>
      <c r="R77" s="115"/>
      <c r="S77" s="115"/>
      <c r="T77" s="115"/>
      <c r="U77" s="58"/>
      <c r="V77" s="58"/>
      <c r="W77" s="58"/>
      <c r="X77" s="53"/>
      <c r="Y77" s="53"/>
      <c r="Z77" s="53"/>
      <c r="AA77" s="53"/>
      <c r="AB77" s="53"/>
      <c r="AC77" s="53"/>
      <c r="AD77" s="47"/>
      <c r="AE77" s="54">
        <v>3000000</v>
      </c>
      <c r="AF77" s="53"/>
      <c r="AG77" s="47"/>
      <c r="AH77" s="53">
        <f t="shared" si="13"/>
        <v>3000000</v>
      </c>
      <c r="AI77" s="51"/>
      <c r="AJ77" s="55">
        <f t="shared" si="18"/>
        <v>0</v>
      </c>
    </row>
    <row r="78" spans="1:36" s="36" customFormat="1" ht="15.75" x14ac:dyDescent="0.25">
      <c r="A78" s="185" t="s">
        <v>197</v>
      </c>
      <c r="B78" s="186" t="s">
        <v>198</v>
      </c>
      <c r="C78" s="52" t="s">
        <v>45</v>
      </c>
      <c r="D78" s="52" t="s">
        <v>45</v>
      </c>
      <c r="E78" s="52" t="s">
        <v>320</v>
      </c>
      <c r="F78" s="52"/>
      <c r="G78" s="52"/>
      <c r="H78" s="50"/>
      <c r="I78" s="182">
        <v>500577</v>
      </c>
      <c r="J78" s="53"/>
      <c r="K78" s="53"/>
      <c r="L78" s="53"/>
      <c r="M78" s="53"/>
      <c r="N78" s="53"/>
      <c r="O78" s="47"/>
      <c r="P78" s="115"/>
      <c r="Q78" s="47"/>
      <c r="R78" s="115"/>
      <c r="S78" s="115">
        <v>17615</v>
      </c>
      <c r="T78" s="115">
        <v>71648</v>
      </c>
      <c r="U78" s="58"/>
      <c r="V78" s="58"/>
      <c r="W78" s="58"/>
      <c r="X78" s="53"/>
      <c r="Y78" s="53"/>
      <c r="Z78" s="53"/>
      <c r="AA78" s="53"/>
      <c r="AB78" s="53"/>
      <c r="AC78" s="53"/>
      <c r="AD78" s="47"/>
      <c r="AE78" s="54">
        <v>411314</v>
      </c>
      <c r="AF78" s="53"/>
      <c r="AG78" s="47"/>
      <c r="AH78" s="53">
        <f t="shared" si="13"/>
        <v>500577</v>
      </c>
      <c r="AI78" s="51"/>
      <c r="AJ78" s="55">
        <f t="shared" si="18"/>
        <v>0</v>
      </c>
    </row>
    <row r="79" spans="1:36" s="36" customFormat="1" ht="15.75" x14ac:dyDescent="0.25">
      <c r="A79" s="34" t="s">
        <v>199</v>
      </c>
      <c r="B79" s="35" t="s">
        <v>436</v>
      </c>
      <c r="C79" s="52" t="s">
        <v>45</v>
      </c>
      <c r="D79" s="52" t="s">
        <v>45</v>
      </c>
      <c r="E79" s="52" t="s">
        <v>320</v>
      </c>
      <c r="F79" s="52">
        <f>'Sheet 2'!T23</f>
        <v>44417</v>
      </c>
      <c r="G79" s="52">
        <f>'Sheet 2'!U23</f>
        <v>44657.8</v>
      </c>
      <c r="H79" s="50">
        <f t="shared" si="17"/>
        <v>8.0000000000000977</v>
      </c>
      <c r="I79" s="53">
        <v>150000</v>
      </c>
      <c r="J79" s="53"/>
      <c r="K79" s="53"/>
      <c r="L79" s="53"/>
      <c r="M79" s="53"/>
      <c r="N79" s="53"/>
      <c r="O79" s="47"/>
      <c r="P79" s="115"/>
      <c r="Q79" s="47"/>
      <c r="R79" s="115"/>
      <c r="S79" s="115"/>
      <c r="T79" s="115"/>
      <c r="U79" s="58"/>
      <c r="V79" s="58"/>
      <c r="W79" s="58"/>
      <c r="X79" s="53"/>
      <c r="Y79" s="53"/>
      <c r="Z79" s="53"/>
      <c r="AA79" s="53"/>
      <c r="AB79" s="53"/>
      <c r="AC79" s="53"/>
      <c r="AD79" s="47"/>
      <c r="AE79" s="54">
        <v>150000</v>
      </c>
      <c r="AF79" s="53"/>
      <c r="AG79" s="47"/>
      <c r="AH79" s="53">
        <f t="shared" si="13"/>
        <v>150000</v>
      </c>
      <c r="AI79" s="51"/>
      <c r="AJ79" s="55">
        <f t="shared" si="18"/>
        <v>0</v>
      </c>
    </row>
    <row r="80" spans="1:36" s="36" customFormat="1" ht="15.75" x14ac:dyDescent="0.25">
      <c r="A80" s="34" t="s">
        <v>201</v>
      </c>
      <c r="B80" s="35" t="s">
        <v>437</v>
      </c>
      <c r="C80" s="52" t="s">
        <v>45</v>
      </c>
      <c r="D80" s="52" t="s">
        <v>45</v>
      </c>
      <c r="E80" s="52" t="s">
        <v>370</v>
      </c>
      <c r="F80" s="52"/>
      <c r="G80" s="52"/>
      <c r="H80" s="50">
        <f t="shared" si="17"/>
        <v>0</v>
      </c>
      <c r="I80" s="53">
        <v>100000</v>
      </c>
      <c r="J80" s="53"/>
      <c r="K80" s="53"/>
      <c r="L80" s="53"/>
      <c r="M80" s="53"/>
      <c r="N80" s="53"/>
      <c r="O80" s="47"/>
      <c r="P80" s="115"/>
      <c r="Q80" s="47"/>
      <c r="R80" s="115"/>
      <c r="S80" s="115"/>
      <c r="T80" s="115"/>
      <c r="U80" s="58"/>
      <c r="V80" s="54">
        <v>50000</v>
      </c>
      <c r="W80" s="54">
        <v>50000</v>
      </c>
      <c r="X80" s="53"/>
      <c r="Y80" s="53"/>
      <c r="Z80" s="53"/>
      <c r="AA80" s="53"/>
      <c r="AB80" s="53"/>
      <c r="AC80" s="53"/>
      <c r="AD80" s="47"/>
      <c r="AE80" s="54"/>
      <c r="AF80" s="53"/>
      <c r="AG80" s="47"/>
      <c r="AH80" s="53">
        <f t="shared" si="13"/>
        <v>100000</v>
      </c>
      <c r="AI80" s="51"/>
      <c r="AJ80" s="55">
        <f t="shared" si="18"/>
        <v>0</v>
      </c>
    </row>
    <row r="81" spans="1:36" s="36" customFormat="1" ht="15.75" x14ac:dyDescent="0.25">
      <c r="A81" s="34" t="s">
        <v>203</v>
      </c>
      <c r="B81" s="35" t="s">
        <v>204</v>
      </c>
      <c r="C81" s="52" t="s">
        <v>45</v>
      </c>
      <c r="D81" s="52" t="s">
        <v>45</v>
      </c>
      <c r="E81" s="52" t="s">
        <v>320</v>
      </c>
      <c r="F81" s="52"/>
      <c r="G81" s="52"/>
      <c r="H81" s="50"/>
      <c r="I81" s="53">
        <v>10000000</v>
      </c>
      <c r="J81" s="53"/>
      <c r="K81" s="53"/>
      <c r="L81" s="53"/>
      <c r="M81" s="53"/>
      <c r="N81" s="53"/>
      <c r="O81" s="47"/>
      <c r="P81" s="115"/>
      <c r="Q81" s="47"/>
      <c r="R81" s="115"/>
      <c r="S81" s="115"/>
      <c r="T81" s="115"/>
      <c r="U81" s="58"/>
      <c r="V81" s="58"/>
      <c r="W81" s="58"/>
      <c r="X81" s="54">
        <v>405000</v>
      </c>
      <c r="Y81" s="54">
        <v>780000</v>
      </c>
      <c r="Z81" s="54">
        <v>1100000</v>
      </c>
      <c r="AA81" s="54">
        <v>1300000</v>
      </c>
      <c r="AB81" s="54">
        <v>1400000</v>
      </c>
      <c r="AC81" s="54">
        <v>1400000</v>
      </c>
      <c r="AD81" s="47"/>
      <c r="AE81" s="54">
        <v>3615000</v>
      </c>
      <c r="AF81" s="53"/>
      <c r="AG81" s="47"/>
      <c r="AH81" s="53">
        <f t="shared" si="13"/>
        <v>10000000</v>
      </c>
      <c r="AI81" s="51"/>
      <c r="AJ81" s="55">
        <f t="shared" si="18"/>
        <v>0</v>
      </c>
    </row>
    <row r="82" spans="1:36" s="36" customFormat="1" ht="15.75" x14ac:dyDescent="0.25">
      <c r="A82" s="34" t="s">
        <v>206</v>
      </c>
      <c r="B82" s="35" t="s">
        <v>207</v>
      </c>
      <c r="C82" s="52" t="s">
        <v>45</v>
      </c>
      <c r="D82" s="52" t="s">
        <v>45</v>
      </c>
      <c r="E82" s="52" t="s">
        <v>320</v>
      </c>
      <c r="F82" s="52"/>
      <c r="G82" s="52"/>
      <c r="H82" s="50"/>
      <c r="I82" s="53">
        <v>5000000</v>
      </c>
      <c r="J82" s="53"/>
      <c r="K82" s="53"/>
      <c r="L82" s="53"/>
      <c r="M82" s="53"/>
      <c r="N82" s="53"/>
      <c r="O82" s="47"/>
      <c r="P82" s="115"/>
      <c r="Q82" s="47"/>
      <c r="R82" s="115"/>
      <c r="S82" s="115"/>
      <c r="T82" s="115"/>
      <c r="U82" s="58"/>
      <c r="V82" s="58"/>
      <c r="W82" s="58"/>
      <c r="X82" s="53"/>
      <c r="Y82" s="53"/>
      <c r="Z82" s="53"/>
      <c r="AA82" s="53"/>
      <c r="AB82" s="53"/>
      <c r="AC82" s="53"/>
      <c r="AD82" s="47"/>
      <c r="AE82" s="54">
        <v>5000000</v>
      </c>
      <c r="AF82" s="53"/>
      <c r="AG82" s="47"/>
      <c r="AH82" s="53">
        <f t="shared" si="13"/>
        <v>5000000</v>
      </c>
      <c r="AI82" s="51"/>
      <c r="AJ82" s="55">
        <f t="shared" si="18"/>
        <v>0</v>
      </c>
    </row>
    <row r="83" spans="1:36" s="36" customFormat="1" ht="15.75" x14ac:dyDescent="0.25">
      <c r="A83" s="34" t="s">
        <v>208</v>
      </c>
      <c r="B83" s="35" t="s">
        <v>209</v>
      </c>
      <c r="C83" s="52" t="s">
        <v>45</v>
      </c>
      <c r="D83" s="52" t="s">
        <v>45</v>
      </c>
      <c r="E83" s="52" t="s">
        <v>320</v>
      </c>
      <c r="F83" s="52"/>
      <c r="G83" s="52"/>
      <c r="H83" s="50"/>
      <c r="I83" s="53">
        <v>1750000</v>
      </c>
      <c r="J83" s="53"/>
      <c r="K83" s="53"/>
      <c r="L83" s="53"/>
      <c r="M83" s="53"/>
      <c r="N83" s="53"/>
      <c r="O83" s="47"/>
      <c r="P83" s="115"/>
      <c r="Q83" s="47"/>
      <c r="R83" s="115"/>
      <c r="S83" s="115"/>
      <c r="T83" s="115"/>
      <c r="U83" s="58"/>
      <c r="V83" s="58"/>
      <c r="W83" s="58"/>
      <c r="X83" s="53"/>
      <c r="Y83" s="53"/>
      <c r="Z83" s="53"/>
      <c r="AA83" s="53"/>
      <c r="AB83" s="53"/>
      <c r="AC83" s="53"/>
      <c r="AD83" s="47"/>
      <c r="AE83" s="54">
        <v>1750000</v>
      </c>
      <c r="AF83" s="53"/>
      <c r="AG83" s="47"/>
      <c r="AH83" s="53">
        <f t="shared" si="13"/>
        <v>1750000</v>
      </c>
      <c r="AI83" s="51"/>
      <c r="AJ83" s="55">
        <f t="shared" si="18"/>
        <v>0</v>
      </c>
    </row>
    <row r="84" spans="1:36" s="36" customFormat="1" ht="15.75" x14ac:dyDescent="0.25">
      <c r="A84" s="34" t="s">
        <v>210</v>
      </c>
      <c r="B84" s="35" t="s">
        <v>211</v>
      </c>
      <c r="C84" s="52" t="s">
        <v>45</v>
      </c>
      <c r="D84" s="52" t="s">
        <v>45</v>
      </c>
      <c r="E84" s="52" t="s">
        <v>320</v>
      </c>
      <c r="F84" s="52" t="s">
        <v>165</v>
      </c>
      <c r="G84" s="52" t="s">
        <v>165</v>
      </c>
      <c r="H84" s="52" t="s">
        <v>165</v>
      </c>
      <c r="I84" s="52" t="s">
        <v>165</v>
      </c>
      <c r="J84" s="53"/>
      <c r="K84" s="53"/>
      <c r="L84" s="53"/>
      <c r="M84" s="53"/>
      <c r="N84" s="53"/>
      <c r="O84" s="47"/>
      <c r="P84" s="115"/>
      <c r="Q84" s="47"/>
      <c r="R84" s="115"/>
      <c r="S84" s="115"/>
      <c r="T84" s="115"/>
      <c r="U84" s="58"/>
      <c r="V84" s="58"/>
      <c r="W84" s="58"/>
      <c r="X84" s="53"/>
      <c r="Y84" s="53"/>
      <c r="Z84" s="53"/>
      <c r="AA84" s="53"/>
      <c r="AB84" s="53"/>
      <c r="AC84" s="53"/>
      <c r="AD84" s="47"/>
      <c r="AE84" s="53"/>
      <c r="AF84" s="53"/>
      <c r="AG84" s="47"/>
      <c r="AH84" s="53">
        <f t="shared" si="13"/>
        <v>0</v>
      </c>
      <c r="AI84" s="51"/>
      <c r="AJ84" s="124" t="s">
        <v>165</v>
      </c>
    </row>
    <row r="85" spans="1:36" s="36" customFormat="1" ht="15.75" x14ac:dyDescent="0.25">
      <c r="A85" s="34" t="s">
        <v>210</v>
      </c>
      <c r="B85" s="35" t="s">
        <v>438</v>
      </c>
      <c r="C85" s="52" t="s">
        <v>45</v>
      </c>
      <c r="D85" s="52" t="s">
        <v>45</v>
      </c>
      <c r="E85" s="52" t="s">
        <v>320</v>
      </c>
      <c r="F85" s="52" t="s">
        <v>165</v>
      </c>
      <c r="G85" s="52" t="s">
        <v>165</v>
      </c>
      <c r="H85" s="52" t="s">
        <v>165</v>
      </c>
      <c r="I85" s="52" t="s">
        <v>165</v>
      </c>
      <c r="J85" s="53"/>
      <c r="K85" s="53"/>
      <c r="L85" s="53"/>
      <c r="M85" s="53"/>
      <c r="N85" s="53"/>
      <c r="O85" s="47"/>
      <c r="P85" s="115"/>
      <c r="Q85" s="47"/>
      <c r="R85" s="115"/>
      <c r="S85" s="115"/>
      <c r="T85" s="115"/>
      <c r="U85" s="58"/>
      <c r="V85" s="58"/>
      <c r="W85" s="58"/>
      <c r="X85" s="53"/>
      <c r="Y85" s="53"/>
      <c r="Z85" s="53"/>
      <c r="AA85" s="53"/>
      <c r="AB85" s="53"/>
      <c r="AC85" s="53"/>
      <c r="AD85" s="47"/>
      <c r="AE85" s="53"/>
      <c r="AF85" s="53"/>
      <c r="AG85" s="47"/>
      <c r="AH85" s="53">
        <f t="shared" si="13"/>
        <v>0</v>
      </c>
      <c r="AI85" s="51"/>
      <c r="AJ85" s="124" t="s">
        <v>165</v>
      </c>
    </row>
    <row r="86" spans="1:36" s="36" customFormat="1" ht="15.75" x14ac:dyDescent="0.25">
      <c r="A86" s="34" t="s">
        <v>210</v>
      </c>
      <c r="B86" s="35" t="s">
        <v>439</v>
      </c>
      <c r="C86" s="52" t="s">
        <v>45</v>
      </c>
      <c r="D86" s="52" t="s">
        <v>45</v>
      </c>
      <c r="E86" s="52" t="s">
        <v>320</v>
      </c>
      <c r="F86" s="52" t="s">
        <v>319</v>
      </c>
      <c r="G86" s="52" t="s">
        <v>319</v>
      </c>
      <c r="H86" s="52" t="s">
        <v>319</v>
      </c>
      <c r="I86" s="52" t="s">
        <v>319</v>
      </c>
      <c r="J86" s="53"/>
      <c r="K86" s="53"/>
      <c r="L86" s="53"/>
      <c r="M86" s="53"/>
      <c r="N86" s="53"/>
      <c r="O86" s="47"/>
      <c r="P86" s="115"/>
      <c r="Q86" s="47"/>
      <c r="R86" s="115"/>
      <c r="S86" s="115"/>
      <c r="T86" s="115"/>
      <c r="U86" s="58"/>
      <c r="V86" s="58"/>
      <c r="W86" s="58"/>
      <c r="X86" s="53"/>
      <c r="Y86" s="53"/>
      <c r="Z86" s="53"/>
      <c r="AA86" s="53"/>
      <c r="AB86" s="53"/>
      <c r="AC86" s="53"/>
      <c r="AD86" s="47"/>
      <c r="AE86" s="53"/>
      <c r="AF86" s="53"/>
      <c r="AG86" s="47"/>
      <c r="AH86" s="53">
        <f t="shared" si="13"/>
        <v>0</v>
      </c>
      <c r="AI86" s="51"/>
      <c r="AJ86" s="124" t="s">
        <v>319</v>
      </c>
    </row>
    <row r="87" spans="1:36" s="36" customFormat="1" ht="15.75" x14ac:dyDescent="0.25">
      <c r="A87" s="34" t="s">
        <v>210</v>
      </c>
      <c r="B87" s="35" t="s">
        <v>440</v>
      </c>
      <c r="C87" s="52" t="s">
        <v>45</v>
      </c>
      <c r="D87" s="52" t="s">
        <v>45</v>
      </c>
      <c r="E87" s="52" t="s">
        <v>320</v>
      </c>
      <c r="F87" s="52" t="s">
        <v>319</v>
      </c>
      <c r="G87" s="52" t="s">
        <v>319</v>
      </c>
      <c r="H87" s="52" t="s">
        <v>319</v>
      </c>
      <c r="I87" s="52" t="s">
        <v>319</v>
      </c>
      <c r="J87" s="53"/>
      <c r="K87" s="53"/>
      <c r="L87" s="53"/>
      <c r="M87" s="53"/>
      <c r="N87" s="53"/>
      <c r="O87" s="47"/>
      <c r="P87" s="115"/>
      <c r="Q87" s="47"/>
      <c r="R87" s="115"/>
      <c r="S87" s="115"/>
      <c r="T87" s="115"/>
      <c r="U87" s="58"/>
      <c r="V87" s="58"/>
      <c r="W87" s="58"/>
      <c r="X87" s="53"/>
      <c r="Y87" s="53"/>
      <c r="Z87" s="53"/>
      <c r="AA87" s="53"/>
      <c r="AB87" s="53"/>
      <c r="AC87" s="53"/>
      <c r="AD87" s="47"/>
      <c r="AE87" s="53"/>
      <c r="AF87" s="53"/>
      <c r="AG87" s="47"/>
      <c r="AH87" s="53">
        <f t="shared" si="13"/>
        <v>0</v>
      </c>
      <c r="AI87" s="51"/>
      <c r="AJ87" s="124" t="s">
        <v>319</v>
      </c>
    </row>
    <row r="88" spans="1:36" s="36" customFormat="1" ht="15.75" x14ac:dyDescent="0.25">
      <c r="A88" s="34" t="s">
        <v>215</v>
      </c>
      <c r="B88" s="35" t="s">
        <v>216</v>
      </c>
      <c r="C88" s="52" t="s">
        <v>45</v>
      </c>
      <c r="D88" s="52" t="s">
        <v>45</v>
      </c>
      <c r="E88" s="52" t="s">
        <v>320</v>
      </c>
      <c r="F88" s="52"/>
      <c r="G88" s="52"/>
      <c r="H88" s="50"/>
      <c r="I88" s="182">
        <v>89724</v>
      </c>
      <c r="J88" s="53"/>
      <c r="K88" s="53"/>
      <c r="L88" s="53"/>
      <c r="M88" s="53"/>
      <c r="N88" s="53"/>
      <c r="O88" s="47"/>
      <c r="P88" s="115"/>
      <c r="Q88" s="47"/>
      <c r="R88" s="115"/>
      <c r="S88" s="115"/>
      <c r="T88" s="115"/>
      <c r="U88" s="58"/>
      <c r="V88" s="58"/>
      <c r="W88" s="58"/>
      <c r="X88" s="53"/>
      <c r="Y88" s="53"/>
      <c r="Z88" s="53"/>
      <c r="AA88" s="53"/>
      <c r="AB88" s="53"/>
      <c r="AC88" s="53"/>
      <c r="AD88" s="47"/>
      <c r="AE88" s="54">
        <v>89724</v>
      </c>
      <c r="AF88" s="53"/>
      <c r="AG88" s="47"/>
      <c r="AH88" s="53">
        <f t="shared" si="13"/>
        <v>89724</v>
      </c>
      <c r="AI88" s="51"/>
      <c r="AJ88" s="55">
        <f t="shared" si="18"/>
        <v>0</v>
      </c>
    </row>
    <row r="89" spans="1:36" s="36" customFormat="1" ht="15.75" x14ac:dyDescent="0.25">
      <c r="A89" s="34" t="s">
        <v>210</v>
      </c>
      <c r="B89" s="35" t="s">
        <v>217</v>
      </c>
      <c r="C89" s="52" t="s">
        <v>45</v>
      </c>
      <c r="D89" s="52" t="s">
        <v>45</v>
      </c>
      <c r="E89" s="52" t="s">
        <v>320</v>
      </c>
      <c r="F89" s="52"/>
      <c r="G89" s="52"/>
      <c r="H89" s="50"/>
      <c r="I89" s="53"/>
      <c r="J89" s="53"/>
      <c r="K89" s="53"/>
      <c r="L89" s="53"/>
      <c r="M89" s="53"/>
      <c r="N89" s="53"/>
      <c r="O89" s="47"/>
      <c r="P89" s="115"/>
      <c r="Q89" s="47"/>
      <c r="R89" s="115"/>
      <c r="S89" s="115"/>
      <c r="T89" s="115"/>
      <c r="U89" s="58"/>
      <c r="V89" s="58"/>
      <c r="W89" s="58"/>
      <c r="X89" s="53"/>
      <c r="Y89" s="53"/>
      <c r="Z89" s="53"/>
      <c r="AA89" s="53"/>
      <c r="AB89" s="53"/>
      <c r="AC89" s="53"/>
      <c r="AD89" s="47"/>
      <c r="AE89" s="53"/>
      <c r="AF89" s="53"/>
      <c r="AG89" s="47"/>
      <c r="AH89" s="53">
        <f t="shared" si="13"/>
        <v>0</v>
      </c>
      <c r="AI89" s="51"/>
      <c r="AJ89" s="55">
        <f t="shared" si="18"/>
        <v>0</v>
      </c>
    </row>
    <row r="90" spans="1:36" s="36" customFormat="1" ht="15.75" x14ac:dyDescent="0.25">
      <c r="A90" s="34" t="s">
        <v>210</v>
      </c>
      <c r="B90" s="35" t="s">
        <v>211</v>
      </c>
      <c r="C90" s="52" t="s">
        <v>45</v>
      </c>
      <c r="D90" s="52" t="s">
        <v>45</v>
      </c>
      <c r="E90" s="52" t="s">
        <v>320</v>
      </c>
      <c r="F90" s="52"/>
      <c r="G90" s="52"/>
      <c r="H90" s="50"/>
      <c r="I90" s="53"/>
      <c r="J90" s="53"/>
      <c r="K90" s="53"/>
      <c r="L90" s="53"/>
      <c r="M90" s="53"/>
      <c r="N90" s="53"/>
      <c r="O90" s="47"/>
      <c r="P90" s="115"/>
      <c r="Q90" s="47"/>
      <c r="R90" s="115"/>
      <c r="S90" s="115"/>
      <c r="T90" s="115"/>
      <c r="U90" s="58"/>
      <c r="V90" s="58"/>
      <c r="W90" s="58"/>
      <c r="X90" s="53"/>
      <c r="Y90" s="53"/>
      <c r="Z90" s="53"/>
      <c r="AA90" s="53"/>
      <c r="AB90" s="53"/>
      <c r="AC90" s="53"/>
      <c r="AD90" s="47"/>
      <c r="AE90" s="53"/>
      <c r="AF90" s="53"/>
      <c r="AG90" s="47"/>
      <c r="AH90" s="53">
        <f t="shared" si="13"/>
        <v>0</v>
      </c>
      <c r="AI90" s="51"/>
      <c r="AJ90" s="55">
        <f t="shared" si="18"/>
        <v>0</v>
      </c>
    </row>
    <row r="91" spans="1:36" s="36" customFormat="1" ht="15.75" x14ac:dyDescent="0.25">
      <c r="A91" s="34" t="s">
        <v>210</v>
      </c>
      <c r="B91" s="35" t="s">
        <v>218</v>
      </c>
      <c r="C91" s="52" t="s">
        <v>45</v>
      </c>
      <c r="D91" s="52" t="s">
        <v>45</v>
      </c>
      <c r="E91" s="52" t="s">
        <v>320</v>
      </c>
      <c r="F91" s="52"/>
      <c r="G91" s="52"/>
      <c r="H91" s="50"/>
      <c r="I91" s="53"/>
      <c r="J91" s="53"/>
      <c r="K91" s="53"/>
      <c r="L91" s="53"/>
      <c r="M91" s="53"/>
      <c r="N91" s="53"/>
      <c r="O91" s="47"/>
      <c r="P91" s="115"/>
      <c r="Q91" s="47"/>
      <c r="R91" s="115"/>
      <c r="S91" s="115"/>
      <c r="T91" s="115"/>
      <c r="U91" s="58"/>
      <c r="V91" s="58"/>
      <c r="W91" s="58"/>
      <c r="X91" s="53"/>
      <c r="Y91" s="53"/>
      <c r="Z91" s="53"/>
      <c r="AA91" s="53"/>
      <c r="AB91" s="53"/>
      <c r="AC91" s="53"/>
      <c r="AD91" s="47"/>
      <c r="AE91" s="53"/>
      <c r="AF91" s="53"/>
      <c r="AG91" s="47"/>
      <c r="AH91" s="53">
        <f t="shared" si="13"/>
        <v>0</v>
      </c>
      <c r="AI91" s="51"/>
      <c r="AJ91" s="55">
        <f t="shared" si="18"/>
        <v>0</v>
      </c>
    </row>
    <row r="92" spans="1:36" s="36" customFormat="1" ht="15.75" x14ac:dyDescent="0.25">
      <c r="A92" s="34" t="s">
        <v>210</v>
      </c>
      <c r="B92" s="35" t="s">
        <v>219</v>
      </c>
      <c r="C92" s="52" t="s">
        <v>45</v>
      </c>
      <c r="D92" s="52" t="s">
        <v>45</v>
      </c>
      <c r="E92" s="52" t="s">
        <v>320</v>
      </c>
      <c r="F92" s="52"/>
      <c r="G92" s="52"/>
      <c r="H92" s="50"/>
      <c r="I92" s="53"/>
      <c r="J92" s="53"/>
      <c r="K92" s="53"/>
      <c r="L92" s="53"/>
      <c r="M92" s="53"/>
      <c r="N92" s="53"/>
      <c r="O92" s="47"/>
      <c r="P92" s="115"/>
      <c r="Q92" s="47"/>
      <c r="R92" s="115"/>
      <c r="S92" s="115"/>
      <c r="T92" s="115"/>
      <c r="U92" s="58"/>
      <c r="V92" s="58"/>
      <c r="W92" s="58"/>
      <c r="X92" s="53"/>
      <c r="Y92" s="53"/>
      <c r="Z92" s="53"/>
      <c r="AA92" s="53"/>
      <c r="AB92" s="53"/>
      <c r="AC92" s="53"/>
      <c r="AD92" s="47"/>
      <c r="AE92" s="53"/>
      <c r="AF92" s="53"/>
      <c r="AG92" s="47"/>
      <c r="AH92" s="53">
        <f t="shared" si="13"/>
        <v>0</v>
      </c>
      <c r="AI92" s="51"/>
      <c r="AJ92" s="55">
        <f t="shared" si="18"/>
        <v>0</v>
      </c>
    </row>
    <row r="93" spans="1:36" s="36" customFormat="1" ht="15.75" x14ac:dyDescent="0.25">
      <c r="A93" s="34" t="s">
        <v>210</v>
      </c>
      <c r="B93" s="35" t="s">
        <v>441</v>
      </c>
      <c r="C93" s="52" t="s">
        <v>45</v>
      </c>
      <c r="D93" s="52" t="s">
        <v>45</v>
      </c>
      <c r="E93" s="52" t="s">
        <v>320</v>
      </c>
      <c r="F93" s="52"/>
      <c r="G93" s="52"/>
      <c r="H93" s="50"/>
      <c r="I93" s="53"/>
      <c r="J93" s="53"/>
      <c r="K93" s="53"/>
      <c r="L93" s="53"/>
      <c r="M93" s="53"/>
      <c r="N93" s="53"/>
      <c r="O93" s="47"/>
      <c r="P93" s="115"/>
      <c r="Q93" s="47"/>
      <c r="R93" s="115"/>
      <c r="S93" s="115"/>
      <c r="T93" s="115"/>
      <c r="U93" s="58"/>
      <c r="V93" s="58"/>
      <c r="W93" s="58"/>
      <c r="X93" s="53"/>
      <c r="Y93" s="53"/>
      <c r="Z93" s="53"/>
      <c r="AA93" s="53"/>
      <c r="AB93" s="53"/>
      <c r="AC93" s="53"/>
      <c r="AD93" s="47"/>
      <c r="AE93" s="53"/>
      <c r="AF93" s="53"/>
      <c r="AG93" s="47"/>
      <c r="AH93" s="53">
        <f t="shared" si="13"/>
        <v>0</v>
      </c>
      <c r="AI93" s="51"/>
      <c r="AJ93" s="55">
        <f t="shared" si="18"/>
        <v>0</v>
      </c>
    </row>
    <row r="94" spans="1:36" s="36" customFormat="1" ht="15.75" x14ac:dyDescent="0.25">
      <c r="A94" s="34" t="s">
        <v>210</v>
      </c>
      <c r="B94" s="35" t="s">
        <v>221</v>
      </c>
      <c r="C94" s="52" t="s">
        <v>45</v>
      </c>
      <c r="D94" s="52" t="s">
        <v>45</v>
      </c>
      <c r="E94" s="52" t="s">
        <v>320</v>
      </c>
      <c r="F94" s="52"/>
      <c r="G94" s="52"/>
      <c r="H94" s="50"/>
      <c r="I94" s="53"/>
      <c r="J94" s="53"/>
      <c r="K94" s="53"/>
      <c r="L94" s="53"/>
      <c r="M94" s="53"/>
      <c r="N94" s="53"/>
      <c r="O94" s="47"/>
      <c r="P94" s="115"/>
      <c r="Q94" s="47"/>
      <c r="R94" s="115"/>
      <c r="S94" s="115"/>
      <c r="T94" s="115"/>
      <c r="U94" s="58"/>
      <c r="V94" s="58"/>
      <c r="W94" s="58"/>
      <c r="X94" s="53"/>
      <c r="Y94" s="53"/>
      <c r="Z94" s="53"/>
      <c r="AA94" s="53"/>
      <c r="AB94" s="53"/>
      <c r="AC94" s="53"/>
      <c r="AD94" s="47"/>
      <c r="AE94" s="53"/>
      <c r="AF94" s="53"/>
      <c r="AG94" s="47"/>
      <c r="AH94" s="53">
        <f t="shared" si="13"/>
        <v>0</v>
      </c>
      <c r="AI94" s="51"/>
      <c r="AJ94" s="55">
        <f t="shared" si="18"/>
        <v>0</v>
      </c>
    </row>
    <row r="95" spans="1:36" s="36" customFormat="1" ht="15.75" x14ac:dyDescent="0.25">
      <c r="A95" s="34" t="s">
        <v>210</v>
      </c>
      <c r="B95" s="35" t="s">
        <v>223</v>
      </c>
      <c r="C95" s="52" t="s">
        <v>45</v>
      </c>
      <c r="D95" s="52" t="s">
        <v>45</v>
      </c>
      <c r="E95" s="52" t="s">
        <v>320</v>
      </c>
      <c r="F95" s="52"/>
      <c r="G95" s="52"/>
      <c r="H95" s="50"/>
      <c r="I95" s="53">
        <v>90000</v>
      </c>
      <c r="J95" s="53"/>
      <c r="K95" s="53"/>
      <c r="L95" s="53"/>
      <c r="M95" s="53"/>
      <c r="N95" s="53"/>
      <c r="O95" s="47"/>
      <c r="P95" s="115"/>
      <c r="Q95" s="47"/>
      <c r="R95" s="115"/>
      <c r="S95" s="115"/>
      <c r="T95" s="115"/>
      <c r="U95" s="58"/>
      <c r="V95" s="58"/>
      <c r="W95" s="58"/>
      <c r="X95" s="53"/>
      <c r="Y95" s="53"/>
      <c r="Z95" s="53"/>
      <c r="AA95" s="53"/>
      <c r="AB95" s="53"/>
      <c r="AC95" s="53"/>
      <c r="AD95" s="47"/>
      <c r="AE95" s="54">
        <v>90000</v>
      </c>
      <c r="AF95" s="53"/>
      <c r="AG95" s="47"/>
      <c r="AH95" s="53">
        <f t="shared" si="13"/>
        <v>90000</v>
      </c>
      <c r="AI95" s="51"/>
      <c r="AJ95" s="55">
        <f t="shared" si="18"/>
        <v>0</v>
      </c>
    </row>
    <row r="96" spans="1:36" s="36" customFormat="1" ht="15.75" x14ac:dyDescent="0.25">
      <c r="A96" s="34" t="s">
        <v>398</v>
      </c>
      <c r="B96" s="35" t="s">
        <v>225</v>
      </c>
      <c r="C96" s="52" t="s">
        <v>45</v>
      </c>
      <c r="D96" s="52" t="s">
        <v>45</v>
      </c>
      <c r="E96" s="52" t="s">
        <v>320</v>
      </c>
      <c r="F96" s="52">
        <v>44409</v>
      </c>
      <c r="G96" s="52">
        <v>44649</v>
      </c>
      <c r="H96" s="50"/>
      <c r="I96" s="53">
        <v>1500000</v>
      </c>
      <c r="J96" s="53"/>
      <c r="K96" s="53"/>
      <c r="L96" s="53"/>
      <c r="M96" s="53"/>
      <c r="N96" s="53"/>
      <c r="O96" s="47"/>
      <c r="P96" s="115"/>
      <c r="Q96" s="47"/>
      <c r="R96" s="115"/>
      <c r="S96" s="115"/>
      <c r="T96" s="115"/>
      <c r="U96" s="58"/>
      <c r="V96" s="58"/>
      <c r="W96" s="58"/>
      <c r="X96" s="53"/>
      <c r="Y96" s="53"/>
      <c r="Z96" s="53"/>
      <c r="AA96" s="53"/>
      <c r="AB96" s="53"/>
      <c r="AC96" s="53"/>
      <c r="AD96" s="47"/>
      <c r="AE96" s="54">
        <v>1500000</v>
      </c>
      <c r="AF96" s="53"/>
      <c r="AG96" s="47"/>
      <c r="AH96" s="53">
        <f t="shared" si="13"/>
        <v>1500000</v>
      </c>
      <c r="AI96" s="51"/>
      <c r="AJ96" s="55">
        <f t="shared" si="18"/>
        <v>0</v>
      </c>
    </row>
    <row r="97" spans="1:37" s="36" customFormat="1" ht="15.75" x14ac:dyDescent="0.25">
      <c r="A97" s="64" t="s">
        <v>337</v>
      </c>
      <c r="B97" s="65" t="s">
        <v>422</v>
      </c>
      <c r="C97" s="52" t="s">
        <v>387</v>
      </c>
      <c r="D97" s="87" t="s">
        <v>45</v>
      </c>
      <c r="E97" s="52" t="s">
        <v>320</v>
      </c>
      <c r="F97" s="52" t="s">
        <v>319</v>
      </c>
      <c r="G97" s="52" t="s">
        <v>319</v>
      </c>
      <c r="H97" s="52" t="s">
        <v>319</v>
      </c>
      <c r="I97" s="182">
        <v>37392</v>
      </c>
      <c r="J97" s="53"/>
      <c r="K97" s="53"/>
      <c r="L97" s="53"/>
      <c r="M97" s="53"/>
      <c r="N97" s="53"/>
      <c r="O97" s="47"/>
      <c r="P97" s="115"/>
      <c r="Q97" s="47"/>
      <c r="R97" s="115"/>
      <c r="S97" s="115">
        <v>37392</v>
      </c>
      <c r="T97" s="115"/>
      <c r="U97" s="58"/>
      <c r="V97" s="58"/>
      <c r="W97" s="58"/>
      <c r="X97" s="58"/>
      <c r="Y97" s="58"/>
      <c r="Z97" s="58"/>
      <c r="AA97" s="58"/>
      <c r="AB97" s="58"/>
      <c r="AC97" s="58"/>
      <c r="AD97" s="47"/>
      <c r="AE97" s="53"/>
      <c r="AF97" s="53"/>
      <c r="AG97" s="47"/>
      <c r="AH97" s="53">
        <f>SUM(P97:AG97)</f>
        <v>37392</v>
      </c>
      <c r="AI97" s="51"/>
      <c r="AJ97" s="55">
        <f>I97-AH97</f>
        <v>0</v>
      </c>
    </row>
    <row r="98" spans="1:37" s="36" customFormat="1" ht="15.75" x14ac:dyDescent="0.25">
      <c r="A98" s="183" t="s">
        <v>340</v>
      </c>
      <c r="B98" s="184" t="s">
        <v>429</v>
      </c>
      <c r="C98" s="52" t="s">
        <v>387</v>
      </c>
      <c r="D98" s="87" t="s">
        <v>45</v>
      </c>
      <c r="E98" s="52" t="s">
        <v>320</v>
      </c>
      <c r="F98" s="52" t="s">
        <v>319</v>
      </c>
      <c r="G98" s="52" t="s">
        <v>319</v>
      </c>
      <c r="H98" s="52" t="s">
        <v>319</v>
      </c>
      <c r="I98" s="53">
        <v>3575</v>
      </c>
      <c r="J98" s="53"/>
      <c r="K98" s="53"/>
      <c r="L98" s="53"/>
      <c r="M98" s="53"/>
      <c r="N98" s="53"/>
      <c r="O98" s="47"/>
      <c r="P98" s="115"/>
      <c r="Q98" s="47"/>
      <c r="R98" s="115"/>
      <c r="S98" s="115">
        <v>3575</v>
      </c>
      <c r="T98" s="115"/>
      <c r="U98" s="58"/>
      <c r="V98" s="58"/>
      <c r="W98" s="58"/>
      <c r="X98" s="58"/>
      <c r="Y98" s="58"/>
      <c r="Z98" s="58"/>
      <c r="AA98" s="58"/>
      <c r="AB98" s="58"/>
      <c r="AC98" s="58"/>
      <c r="AD98" s="47"/>
      <c r="AE98" s="58"/>
      <c r="AF98" s="53"/>
      <c r="AG98" s="47"/>
      <c r="AH98" s="53">
        <f>SUM(P98:AG98)</f>
        <v>3575</v>
      </c>
      <c r="AI98" s="51"/>
      <c r="AJ98" s="55">
        <f>I98-AH98</f>
        <v>0</v>
      </c>
    </row>
    <row r="99" spans="1:37" s="36" customFormat="1" ht="15.75" x14ac:dyDescent="0.25">
      <c r="A99" s="34" t="s">
        <v>226</v>
      </c>
      <c r="B99" s="35" t="s">
        <v>442</v>
      </c>
      <c r="C99" s="52" t="s">
        <v>45</v>
      </c>
      <c r="D99" s="52" t="s">
        <v>45</v>
      </c>
      <c r="E99" s="52" t="s">
        <v>320</v>
      </c>
      <c r="F99" s="52">
        <v>44436</v>
      </c>
      <c r="G99" s="52">
        <v>44616</v>
      </c>
      <c r="H99" s="50"/>
      <c r="I99" s="53">
        <v>2000000</v>
      </c>
      <c r="J99" s="53"/>
      <c r="K99" s="53"/>
      <c r="L99" s="53"/>
      <c r="M99" s="53"/>
      <c r="N99" s="53"/>
      <c r="O99" s="47"/>
      <c r="P99" s="115"/>
      <c r="Q99" s="47"/>
      <c r="R99" s="115"/>
      <c r="S99" s="115"/>
      <c r="T99" s="115"/>
      <c r="U99" s="58"/>
      <c r="V99" s="58"/>
      <c r="W99" s="58"/>
      <c r="X99" s="58"/>
      <c r="Y99" s="58"/>
      <c r="Z99" s="58"/>
      <c r="AA99" s="58"/>
      <c r="AB99" s="58"/>
      <c r="AC99" s="58"/>
      <c r="AD99" s="47"/>
      <c r="AE99" s="54">
        <v>2000000</v>
      </c>
      <c r="AF99" s="53"/>
      <c r="AG99" s="47"/>
      <c r="AH99" s="53">
        <f t="shared" si="13"/>
        <v>2000000</v>
      </c>
      <c r="AI99" s="51"/>
      <c r="AJ99" s="55">
        <f t="shared" si="18"/>
        <v>0</v>
      </c>
    </row>
    <row r="100" spans="1:37" s="36" customFormat="1" ht="15.75" x14ac:dyDescent="0.25">
      <c r="A100" s="34" t="s">
        <v>228</v>
      </c>
      <c r="B100" s="35" t="s">
        <v>443</v>
      </c>
      <c r="C100" s="52" t="s">
        <v>45</v>
      </c>
      <c r="D100" s="52" t="s">
        <v>389</v>
      </c>
      <c r="E100" s="52" t="s">
        <v>320</v>
      </c>
      <c r="F100" s="52"/>
      <c r="G100" s="52"/>
      <c r="H100" s="50"/>
      <c r="I100" s="53">
        <v>1750000</v>
      </c>
      <c r="J100" s="53"/>
      <c r="K100" s="53"/>
      <c r="L100" s="53"/>
      <c r="M100" s="53"/>
      <c r="N100" s="53"/>
      <c r="O100" s="47"/>
      <c r="P100" s="115"/>
      <c r="Q100" s="47"/>
      <c r="R100" s="115"/>
      <c r="S100" s="115"/>
      <c r="T100" s="115"/>
      <c r="U100" s="58"/>
      <c r="V100" s="58"/>
      <c r="W100" s="58"/>
      <c r="X100" s="53"/>
      <c r="Y100" s="53"/>
      <c r="Z100" s="53"/>
      <c r="AA100" s="53"/>
      <c r="AB100" s="53"/>
      <c r="AC100" s="53"/>
      <c r="AD100" s="47"/>
      <c r="AE100" s="53">
        <v>1750000</v>
      </c>
      <c r="AF100" s="53"/>
      <c r="AG100" s="47"/>
      <c r="AH100" s="53">
        <f t="shared" si="13"/>
        <v>1750000</v>
      </c>
      <c r="AI100" s="51"/>
      <c r="AJ100" s="55">
        <f t="shared" si="18"/>
        <v>0</v>
      </c>
    </row>
    <row r="101" spans="1:37" s="36" customFormat="1" ht="15.75" x14ac:dyDescent="0.25">
      <c r="A101" s="34"/>
      <c r="B101" s="35"/>
      <c r="C101" s="52"/>
      <c r="D101" s="52"/>
      <c r="E101" s="52"/>
      <c r="F101" s="52"/>
      <c r="G101" s="52"/>
      <c r="H101" s="50"/>
      <c r="I101" s="53"/>
      <c r="J101" s="53"/>
      <c r="K101" s="53"/>
      <c r="L101" s="53"/>
      <c r="M101" s="53"/>
      <c r="N101" s="53"/>
      <c r="O101" s="47"/>
      <c r="P101" s="115"/>
      <c r="Q101" s="47"/>
      <c r="R101" s="115"/>
      <c r="S101" s="115"/>
      <c r="T101" s="115"/>
      <c r="U101" s="58"/>
      <c r="V101" s="58"/>
      <c r="W101" s="58"/>
      <c r="X101" s="53"/>
      <c r="Y101" s="53"/>
      <c r="Z101" s="53"/>
      <c r="AA101" s="53"/>
      <c r="AB101" s="53"/>
      <c r="AC101" s="53"/>
      <c r="AD101" s="47"/>
      <c r="AE101" s="53"/>
      <c r="AF101" s="53"/>
      <c r="AG101" s="47"/>
      <c r="AH101" s="53">
        <f t="shared" si="13"/>
        <v>0</v>
      </c>
      <c r="AI101" s="51"/>
      <c r="AJ101" s="55">
        <f t="shared" si="18"/>
        <v>0</v>
      </c>
    </row>
    <row r="102" spans="1:37" s="36" customFormat="1" ht="15.75" x14ac:dyDescent="0.25">
      <c r="A102" s="34"/>
      <c r="B102" s="35"/>
      <c r="C102" s="52"/>
      <c r="D102" s="52"/>
      <c r="E102" s="52"/>
      <c r="F102" s="52"/>
      <c r="G102" s="52"/>
      <c r="H102" s="50"/>
      <c r="I102" s="53"/>
      <c r="J102" s="53"/>
      <c r="K102" s="53"/>
      <c r="L102" s="53"/>
      <c r="M102" s="53"/>
      <c r="N102" s="53"/>
      <c r="O102" s="47"/>
      <c r="P102" s="115"/>
      <c r="Q102" s="47"/>
      <c r="R102" s="115"/>
      <c r="S102" s="115"/>
      <c r="T102" s="115"/>
      <c r="U102" s="58"/>
      <c r="V102" s="58"/>
      <c r="W102" s="58"/>
      <c r="X102" s="53"/>
      <c r="Y102" s="53"/>
      <c r="Z102" s="53"/>
      <c r="AA102" s="53"/>
      <c r="AB102" s="53"/>
      <c r="AC102" s="53"/>
      <c r="AD102" s="47"/>
      <c r="AE102" s="53"/>
      <c r="AF102" s="53"/>
      <c r="AG102" s="47"/>
      <c r="AH102" s="53">
        <f t="shared" si="13"/>
        <v>0</v>
      </c>
      <c r="AI102" s="51"/>
      <c r="AJ102" s="55">
        <f t="shared" si="18"/>
        <v>0</v>
      </c>
    </row>
    <row r="103" spans="1:37" s="36" customFormat="1" ht="15.75" x14ac:dyDescent="0.25">
      <c r="A103" s="99"/>
      <c r="B103" s="100"/>
      <c r="C103" s="91"/>
      <c r="D103" s="91"/>
      <c r="E103" s="91"/>
      <c r="F103" s="91"/>
      <c r="G103" s="91"/>
      <c r="H103" s="92"/>
      <c r="I103" s="59">
        <f>SUM(I63:O102)</f>
        <v>36276758</v>
      </c>
      <c r="J103" s="59"/>
      <c r="K103" s="59"/>
      <c r="L103" s="59"/>
      <c r="M103" s="59"/>
      <c r="N103" s="59"/>
      <c r="O103" s="47"/>
      <c r="P103" s="59">
        <f>SUM(P63:P102)</f>
        <v>122184</v>
      </c>
      <c r="Q103" s="47"/>
      <c r="R103" s="59">
        <f t="shared" ref="R103:AC103" si="19">SUM(R63:R102)</f>
        <v>353138</v>
      </c>
      <c r="S103" s="59">
        <f t="shared" si="19"/>
        <v>188750</v>
      </c>
      <c r="T103" s="59">
        <f t="shared" si="19"/>
        <v>71648</v>
      </c>
      <c r="U103" s="59">
        <f t="shared" si="19"/>
        <v>0</v>
      </c>
      <c r="V103" s="59">
        <f t="shared" si="19"/>
        <v>400000</v>
      </c>
      <c r="W103" s="59">
        <f t="shared" si="19"/>
        <v>575000</v>
      </c>
      <c r="X103" s="59">
        <f t="shared" si="19"/>
        <v>980000</v>
      </c>
      <c r="Y103" s="59">
        <f t="shared" si="19"/>
        <v>1355000</v>
      </c>
      <c r="Z103" s="59">
        <f t="shared" si="19"/>
        <v>1750000</v>
      </c>
      <c r="AA103" s="59">
        <f t="shared" si="19"/>
        <v>2825000</v>
      </c>
      <c r="AB103" s="59">
        <f t="shared" si="19"/>
        <v>2925000</v>
      </c>
      <c r="AC103" s="59">
        <f t="shared" si="19"/>
        <v>2725000</v>
      </c>
      <c r="AD103" s="47"/>
      <c r="AE103" s="59">
        <f>SUM(AE63:AE102)</f>
        <v>22006038</v>
      </c>
      <c r="AF103" s="59">
        <f>SUM(AF63:AF102)</f>
        <v>0</v>
      </c>
      <c r="AG103" s="47"/>
      <c r="AH103" s="53">
        <f>SUM(P103:AG103)</f>
        <v>36276758</v>
      </c>
      <c r="AI103" s="51"/>
      <c r="AJ103" s="55">
        <f t="shared" si="18"/>
        <v>0</v>
      </c>
      <c r="AK103" s="55"/>
    </row>
    <row r="104" spans="1:37" s="36" customFormat="1" ht="16.5" thickBot="1" x14ac:dyDescent="0.3">
      <c r="A104" s="34"/>
      <c r="B104" s="35"/>
      <c r="C104" s="52"/>
      <c r="D104" s="52"/>
      <c r="E104" s="52"/>
      <c r="F104" s="52"/>
      <c r="G104" s="141"/>
      <c r="H104" s="142"/>
      <c r="I104" s="143"/>
      <c r="J104" s="143"/>
      <c r="K104" s="143"/>
      <c r="L104" s="143"/>
      <c r="M104" s="143"/>
      <c r="N104" s="143"/>
      <c r="O104" s="144"/>
      <c r="P104" s="143"/>
      <c r="Q104" s="144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4"/>
      <c r="AE104" s="143"/>
      <c r="AF104" s="143"/>
      <c r="AG104" s="144"/>
      <c r="AH104" s="143"/>
      <c r="AI104" s="145"/>
      <c r="AJ104" s="55">
        <f t="shared" si="18"/>
        <v>0</v>
      </c>
    </row>
    <row r="105" spans="1:37" s="36" customFormat="1" ht="16.5" thickBot="1" x14ac:dyDescent="0.3">
      <c r="C105" s="37"/>
      <c r="D105" s="37"/>
      <c r="E105" s="37"/>
      <c r="F105" s="37"/>
      <c r="G105" s="70"/>
      <c r="H105" s="148" t="s">
        <v>445</v>
      </c>
      <c r="I105" s="149">
        <f t="shared" ref="I105:N105" si="20">I13+I18+I37+I44+I61+I103</f>
        <v>86839685</v>
      </c>
      <c r="J105" s="149">
        <f t="shared" si="20"/>
        <v>2574254</v>
      </c>
      <c r="K105" s="149">
        <f t="shared" si="20"/>
        <v>0</v>
      </c>
      <c r="L105" s="149">
        <f t="shared" si="20"/>
        <v>0</v>
      </c>
      <c r="M105" s="149">
        <f t="shared" si="20"/>
        <v>0</v>
      </c>
      <c r="N105" s="149">
        <f t="shared" si="20"/>
        <v>0</v>
      </c>
      <c r="O105" s="144"/>
      <c r="P105" s="151">
        <f>P13+P18+P37+P44+P61+P103</f>
        <v>12192800</v>
      </c>
      <c r="Q105" s="144"/>
      <c r="R105" s="151">
        <f t="shared" ref="R105:AC105" si="21">R13+R18+R37+R44+R61+R103</f>
        <v>3795406</v>
      </c>
      <c r="S105" s="151">
        <f t="shared" si="21"/>
        <v>2521879</v>
      </c>
      <c r="T105" s="151">
        <f t="shared" si="21"/>
        <v>3804063</v>
      </c>
      <c r="U105" s="149">
        <f t="shared" si="21"/>
        <v>3653909.35</v>
      </c>
      <c r="V105" s="149">
        <f t="shared" si="21"/>
        <v>5342576.67</v>
      </c>
      <c r="W105" s="149">
        <f t="shared" si="21"/>
        <v>5353427.67</v>
      </c>
      <c r="X105" s="149">
        <f t="shared" si="21"/>
        <v>4196640.67</v>
      </c>
      <c r="Y105" s="149">
        <f t="shared" si="21"/>
        <v>4451521</v>
      </c>
      <c r="Z105" s="149">
        <f t="shared" si="21"/>
        <v>4324117</v>
      </c>
      <c r="AA105" s="149">
        <f t="shared" si="21"/>
        <v>5178964</v>
      </c>
      <c r="AB105" s="149">
        <f t="shared" si="21"/>
        <v>4876965</v>
      </c>
      <c r="AC105" s="149">
        <f t="shared" si="21"/>
        <v>3728263</v>
      </c>
      <c r="AD105" s="144"/>
      <c r="AE105" s="149">
        <f>AE13+AE18+AE37+AE44+AE61+AE103</f>
        <v>23494356</v>
      </c>
      <c r="AF105" s="149">
        <f>AF13+AF18+AF37+AF44+AF61+AF103</f>
        <v>0</v>
      </c>
      <c r="AG105" s="150"/>
      <c r="AH105" s="152">
        <f>SUM(P105:AG105)</f>
        <v>86914888.360000014</v>
      </c>
      <c r="AI105" s="153"/>
      <c r="AJ105" s="55">
        <f t="shared" si="18"/>
        <v>-75203.360000014305</v>
      </c>
      <c r="AK105" s="55"/>
    </row>
    <row r="106" spans="1:37" s="90" customFormat="1" ht="15.75" x14ac:dyDescent="0.25">
      <c r="C106" s="122"/>
      <c r="D106" s="122"/>
      <c r="E106" s="122"/>
      <c r="F106" s="122"/>
      <c r="G106" s="123"/>
      <c r="H106" s="124" t="s">
        <v>405</v>
      </c>
      <c r="I106" s="125"/>
      <c r="J106" s="125"/>
      <c r="K106" s="125"/>
      <c r="L106" s="125"/>
      <c r="M106" s="125"/>
      <c r="N106" s="125"/>
      <c r="O106" s="126"/>
      <c r="P106" s="125">
        <v>14657045</v>
      </c>
      <c r="Q106" s="126"/>
      <c r="R106" s="128">
        <v>2798117.1428571427</v>
      </c>
      <c r="S106" s="128">
        <v>3206824.6428571427</v>
      </c>
      <c r="T106" s="128">
        <v>4008392.6428571427</v>
      </c>
      <c r="U106" s="128">
        <v>4318997.6428571427</v>
      </c>
      <c r="V106" s="128">
        <v>5069566.6428571418</v>
      </c>
      <c r="W106" s="128">
        <v>5575814.6428571418</v>
      </c>
      <c r="X106" s="128">
        <v>5314704.6428571418</v>
      </c>
      <c r="Y106" s="128">
        <v>5476840</v>
      </c>
      <c r="Z106" s="128">
        <v>5359959</v>
      </c>
      <c r="AA106" s="128">
        <v>6173564</v>
      </c>
      <c r="AB106" s="128">
        <v>5501722</v>
      </c>
      <c r="AC106" s="128">
        <v>3866535</v>
      </c>
      <c r="AD106" s="146"/>
      <c r="AE106" s="125">
        <v>16008105</v>
      </c>
      <c r="AF106" s="125"/>
      <c r="AG106" s="146"/>
      <c r="AH106" s="125"/>
      <c r="AI106" s="126"/>
    </row>
    <row r="107" spans="1:37" ht="15.75" x14ac:dyDescent="0.25">
      <c r="G107" s="75"/>
      <c r="H107" s="38" t="s">
        <v>406</v>
      </c>
      <c r="I107" s="76"/>
      <c r="J107" s="76"/>
      <c r="K107" s="76"/>
      <c r="L107" s="76"/>
      <c r="M107" s="76"/>
      <c r="N107" s="76"/>
      <c r="O107" s="77"/>
      <c r="P107" s="128">
        <f>P105-P106</f>
        <v>-2464245</v>
      </c>
      <c r="Q107" s="126"/>
      <c r="R107" s="128">
        <f>R105-R106</f>
        <v>997288.85714285728</v>
      </c>
      <c r="S107" s="128">
        <f t="shared" ref="S107:AC107" si="22">S105-S106</f>
        <v>-684945.64285714272</v>
      </c>
      <c r="T107" s="128">
        <f t="shared" si="22"/>
        <v>-204329.64285714272</v>
      </c>
      <c r="U107" s="128">
        <f t="shared" si="22"/>
        <v>-665088.29285714263</v>
      </c>
      <c r="V107" s="128">
        <f t="shared" si="22"/>
        <v>273010.02714285813</v>
      </c>
      <c r="W107" s="128">
        <f t="shared" si="22"/>
        <v>-222386.97285714187</v>
      </c>
      <c r="X107" s="128">
        <f t="shared" si="22"/>
        <v>-1118063.9728571419</v>
      </c>
      <c r="Y107" s="128">
        <f t="shared" si="22"/>
        <v>-1025319</v>
      </c>
      <c r="Z107" s="128">
        <f t="shared" si="22"/>
        <v>-1035842</v>
      </c>
      <c r="AA107" s="128">
        <f t="shared" si="22"/>
        <v>-994600</v>
      </c>
      <c r="AB107" s="128">
        <f t="shared" si="22"/>
        <v>-624757</v>
      </c>
      <c r="AC107" s="128">
        <f t="shared" si="22"/>
        <v>-138272</v>
      </c>
      <c r="AD107" s="127"/>
      <c r="AE107" s="125"/>
      <c r="AF107" s="125"/>
      <c r="AG107" s="47"/>
      <c r="AH107" s="76"/>
      <c r="AI107" s="77"/>
      <c r="AJ107" s="90"/>
    </row>
    <row r="108" spans="1:37" ht="15.75" x14ac:dyDescent="0.25">
      <c r="Q108" s="132"/>
      <c r="R108" s="130"/>
      <c r="S108" s="130"/>
      <c r="T108" s="130"/>
      <c r="U108" s="133"/>
      <c r="V108" s="133"/>
      <c r="W108" s="133"/>
      <c r="X108" s="130"/>
      <c r="Y108" s="130"/>
      <c r="Z108" s="130"/>
      <c r="AA108" s="130"/>
      <c r="AB108" s="130"/>
      <c r="AC108" s="130"/>
      <c r="AD108" s="127"/>
      <c r="AE108" s="130"/>
      <c r="AF108" s="130"/>
      <c r="AG108" s="47"/>
    </row>
    <row r="109" spans="1:37" ht="15.75" x14ac:dyDescent="0.25">
      <c r="H109" s="38" t="s">
        <v>407</v>
      </c>
      <c r="Q109" s="132"/>
      <c r="R109" s="136">
        <v>2897650</v>
      </c>
      <c r="S109" s="136">
        <v>3085444</v>
      </c>
      <c r="T109" s="136">
        <v>3369732</v>
      </c>
      <c r="U109" s="133"/>
      <c r="V109" s="133"/>
      <c r="W109" s="133"/>
      <c r="X109" s="130"/>
      <c r="Y109" s="130"/>
      <c r="Z109" s="130"/>
      <c r="AA109" s="130"/>
      <c r="AB109" s="130"/>
      <c r="AC109" s="130"/>
      <c r="AD109" s="127"/>
      <c r="AE109" s="130"/>
      <c r="AF109" s="130"/>
      <c r="AG109" s="47"/>
    </row>
    <row r="110" spans="1:37" ht="15.75" x14ac:dyDescent="0.25">
      <c r="H110" s="38" t="s">
        <v>408</v>
      </c>
      <c r="Q110" s="132"/>
      <c r="R110" s="130">
        <f>(R106*0.9)*0.887</f>
        <v>2233736.915142857</v>
      </c>
      <c r="S110" s="130">
        <f t="shared" ref="S110:AE110" si="23">(S106*0.9)*0.887</f>
        <v>2560008.1123928572</v>
      </c>
      <c r="T110" s="130">
        <f t="shared" si="23"/>
        <v>3199899.8467928572</v>
      </c>
      <c r="U110" s="130">
        <f t="shared" si="23"/>
        <v>3447855.8182928571</v>
      </c>
      <c r="V110" s="130">
        <f t="shared" si="23"/>
        <v>4047035.0509928567</v>
      </c>
      <c r="W110" s="130">
        <f t="shared" si="23"/>
        <v>4451172.8293928569</v>
      </c>
      <c r="X110" s="130">
        <f t="shared" si="23"/>
        <v>4242728.716392857</v>
      </c>
      <c r="Y110" s="130">
        <f t="shared" si="23"/>
        <v>4372161.3720000004</v>
      </c>
      <c r="Z110" s="130">
        <f t="shared" si="23"/>
        <v>4278855.269700001</v>
      </c>
      <c r="AA110" s="130">
        <f t="shared" si="23"/>
        <v>4928356.1412000004</v>
      </c>
      <c r="AB110" s="130">
        <f t="shared" si="23"/>
        <v>4392024.6726000002</v>
      </c>
      <c r="AC110" s="130">
        <f t="shared" si="23"/>
        <v>3086654.8905000002</v>
      </c>
      <c r="AD110" s="127"/>
      <c r="AE110" s="130">
        <f t="shared" si="23"/>
        <v>12779270.2215</v>
      </c>
      <c r="AF110" s="130"/>
      <c r="AG110" s="47"/>
    </row>
    <row r="111" spans="1:37" ht="15.75" x14ac:dyDescent="0.25">
      <c r="H111" s="38" t="s">
        <v>406</v>
      </c>
      <c r="Q111" s="132"/>
      <c r="R111" s="130">
        <f>R109-R110</f>
        <v>663913.084857143</v>
      </c>
      <c r="S111" s="130">
        <f>S109-S110</f>
        <v>525435.88760714279</v>
      </c>
      <c r="T111" s="130">
        <f>T109-T110</f>
        <v>169832.15320714284</v>
      </c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27"/>
      <c r="AE111" s="130"/>
      <c r="AF111" s="130"/>
      <c r="AG111" s="47"/>
    </row>
    <row r="112" spans="1:37" ht="15.75" x14ac:dyDescent="0.25">
      <c r="Q112" s="132"/>
      <c r="R112" s="130"/>
      <c r="S112" s="130"/>
      <c r="T112" s="130"/>
      <c r="U112" s="133"/>
      <c r="V112" s="133"/>
      <c r="W112" s="133"/>
      <c r="X112" s="130"/>
      <c r="Y112" s="130"/>
      <c r="Z112" s="130"/>
      <c r="AA112" s="130"/>
      <c r="AB112" s="130"/>
      <c r="AC112" s="130"/>
      <c r="AD112" s="127"/>
      <c r="AE112" s="130"/>
      <c r="AF112" s="130"/>
      <c r="AG112" s="47"/>
    </row>
    <row r="113" spans="1:36" ht="15.75" x14ac:dyDescent="0.25">
      <c r="H113" s="38" t="s">
        <v>409</v>
      </c>
      <c r="Q113" s="132"/>
      <c r="R113" s="136">
        <v>261214</v>
      </c>
      <c r="S113" s="136">
        <v>325090</v>
      </c>
      <c r="T113" s="136">
        <v>157521</v>
      </c>
      <c r="U113" s="133"/>
      <c r="V113" s="133"/>
      <c r="W113" s="133"/>
      <c r="X113" s="130"/>
      <c r="Y113" s="130"/>
      <c r="Z113" s="130"/>
      <c r="AA113" s="130"/>
      <c r="AB113" s="130"/>
      <c r="AC113" s="130"/>
      <c r="AD113" s="127"/>
      <c r="AE113" s="130"/>
      <c r="AF113" s="130"/>
      <c r="AG113" s="47"/>
    </row>
    <row r="114" spans="1:36" ht="15.75" x14ac:dyDescent="0.25">
      <c r="H114" s="38" t="s">
        <v>410</v>
      </c>
      <c r="Q114" s="132"/>
      <c r="R114" s="130">
        <f t="shared" ref="R114:AC114" si="24">(R106*0.877)*0.1</f>
        <v>245394.87342857142</v>
      </c>
      <c r="S114" s="130">
        <f t="shared" si="24"/>
        <v>281238.52117857145</v>
      </c>
      <c r="T114" s="130">
        <f t="shared" si="24"/>
        <v>351536.03477857145</v>
      </c>
      <c r="U114" s="130">
        <f t="shared" si="24"/>
        <v>378776.09327857144</v>
      </c>
      <c r="V114" s="130">
        <f t="shared" si="24"/>
        <v>444600.99457857135</v>
      </c>
      <c r="W114" s="130">
        <f t="shared" si="24"/>
        <v>488998.9441785714</v>
      </c>
      <c r="X114" s="130">
        <f t="shared" si="24"/>
        <v>466099.59717857133</v>
      </c>
      <c r="Y114" s="130">
        <f t="shared" si="24"/>
        <v>480318.86800000002</v>
      </c>
      <c r="Z114" s="130">
        <f t="shared" si="24"/>
        <v>470068.40429999999</v>
      </c>
      <c r="AA114" s="130">
        <f t="shared" si="24"/>
        <v>541421.56279999996</v>
      </c>
      <c r="AB114" s="130">
        <f t="shared" si="24"/>
        <v>482501.01940000005</v>
      </c>
      <c r="AC114" s="130">
        <f t="shared" si="24"/>
        <v>339095.11950000003</v>
      </c>
      <c r="AD114" s="127"/>
      <c r="AE114" s="130">
        <f>(AE106*0.877)*0.1</f>
        <v>1403910.8085000003</v>
      </c>
      <c r="AF114" s="130"/>
      <c r="AG114" s="47"/>
    </row>
    <row r="115" spans="1:36" ht="15.75" x14ac:dyDescent="0.25">
      <c r="G115" s="75"/>
      <c r="H115" s="38" t="s">
        <v>406</v>
      </c>
      <c r="I115" s="76"/>
      <c r="J115" s="76"/>
      <c r="K115" s="76"/>
      <c r="L115" s="76"/>
      <c r="M115" s="76"/>
      <c r="N115" s="76"/>
      <c r="O115" s="77"/>
      <c r="P115" s="125"/>
      <c r="Q115" s="126"/>
      <c r="R115" s="128">
        <f>R113-R114</f>
        <v>15819.126571428584</v>
      </c>
      <c r="S115" s="128">
        <f>S113-S114</f>
        <v>43851.478821428551</v>
      </c>
      <c r="T115" s="128">
        <f>T113-T114</f>
        <v>-194015.03477857145</v>
      </c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7"/>
      <c r="AE115" s="125"/>
      <c r="AF115" s="125"/>
      <c r="AG115" s="47"/>
      <c r="AH115" s="76"/>
      <c r="AI115" s="77"/>
      <c r="AJ115" s="90"/>
    </row>
    <row r="116" spans="1:36" ht="15.75" x14ac:dyDescent="0.25">
      <c r="G116" s="75"/>
      <c r="I116" s="76"/>
      <c r="J116" s="76"/>
      <c r="K116" s="76"/>
      <c r="L116" s="76"/>
      <c r="M116" s="76"/>
      <c r="N116" s="76"/>
      <c r="O116" s="77"/>
      <c r="P116" s="125"/>
      <c r="Q116" s="126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7"/>
      <c r="AE116" s="125"/>
      <c r="AF116" s="125"/>
      <c r="AG116" s="47"/>
      <c r="AH116" s="76"/>
      <c r="AI116" s="77"/>
      <c r="AJ116" s="90"/>
    </row>
    <row r="117" spans="1:36" ht="15.75" x14ac:dyDescent="0.25">
      <c r="G117" s="75"/>
      <c r="H117" s="38" t="s">
        <v>411</v>
      </c>
      <c r="I117" s="76"/>
      <c r="J117" s="76"/>
      <c r="K117" s="76"/>
      <c r="L117" s="76"/>
      <c r="M117" s="76"/>
      <c r="N117" s="76"/>
      <c r="O117" s="77"/>
      <c r="P117" s="125"/>
      <c r="Q117" s="126"/>
      <c r="R117" s="139">
        <v>9.01E-2</v>
      </c>
      <c r="S117" s="139">
        <v>0.10539999999999999</v>
      </c>
      <c r="T117" s="139">
        <v>4.6699999999999998E-2</v>
      </c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27"/>
      <c r="AE117" s="125"/>
      <c r="AF117" s="125"/>
      <c r="AG117" s="47"/>
      <c r="AH117" s="76"/>
      <c r="AI117" s="77"/>
      <c r="AJ117" s="90"/>
    </row>
    <row r="118" spans="1:36" ht="15.75" x14ac:dyDescent="0.25">
      <c r="G118" s="75"/>
      <c r="H118" s="38" t="s">
        <v>412</v>
      </c>
      <c r="I118" s="76"/>
      <c r="J118" s="76"/>
      <c r="K118" s="76"/>
      <c r="L118" s="76"/>
      <c r="M118" s="76"/>
      <c r="N118" s="76"/>
      <c r="O118" s="77"/>
      <c r="P118" s="125"/>
      <c r="Q118" s="126"/>
      <c r="R118" s="137">
        <v>0.1</v>
      </c>
      <c r="S118" s="137">
        <v>0.1</v>
      </c>
      <c r="T118" s="137">
        <v>0.1</v>
      </c>
      <c r="U118" s="137">
        <v>0.1</v>
      </c>
      <c r="V118" s="137">
        <v>0.1</v>
      </c>
      <c r="W118" s="137">
        <v>0.1</v>
      </c>
      <c r="X118" s="137">
        <v>0.1</v>
      </c>
      <c r="Y118" s="137">
        <v>0.1</v>
      </c>
      <c r="Z118" s="137">
        <v>0.1</v>
      </c>
      <c r="AA118" s="137">
        <v>0.1</v>
      </c>
      <c r="AB118" s="137">
        <v>0.1</v>
      </c>
      <c r="AC118" s="137">
        <v>0.1</v>
      </c>
      <c r="AD118" s="127"/>
      <c r="AE118" s="137">
        <v>0.1</v>
      </c>
      <c r="AF118" s="125"/>
      <c r="AG118" s="47"/>
      <c r="AH118" s="76"/>
      <c r="AI118" s="77"/>
      <c r="AJ118" s="90"/>
    </row>
    <row r="119" spans="1:36" ht="15.75" x14ac:dyDescent="0.25">
      <c r="G119" s="75"/>
      <c r="H119" s="38" t="s">
        <v>406</v>
      </c>
      <c r="I119" s="76"/>
      <c r="J119" s="76"/>
      <c r="K119" s="76"/>
      <c r="L119" s="76"/>
      <c r="M119" s="76"/>
      <c r="N119" s="76"/>
      <c r="O119" s="77"/>
      <c r="P119" s="125"/>
      <c r="Q119" s="126"/>
      <c r="R119" s="138">
        <f>R117-R118</f>
        <v>-9.900000000000006E-3</v>
      </c>
      <c r="S119" s="138">
        <f>S117-S118</f>
        <v>5.3999999999999881E-3</v>
      </c>
      <c r="T119" s="138">
        <f>T117-T118</f>
        <v>-5.3300000000000007E-2</v>
      </c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27"/>
      <c r="AE119" s="125"/>
      <c r="AF119" s="125"/>
      <c r="AG119" s="47"/>
      <c r="AH119" s="76"/>
      <c r="AI119" s="77"/>
      <c r="AJ119" s="90"/>
    </row>
    <row r="120" spans="1:36" ht="15.75" x14ac:dyDescent="0.25">
      <c r="Q120" s="132"/>
      <c r="R120" s="130"/>
      <c r="S120" s="130"/>
      <c r="T120" s="130"/>
      <c r="U120" s="133"/>
      <c r="V120" s="133"/>
      <c r="W120" s="133"/>
      <c r="X120" s="130"/>
      <c r="Y120" s="130"/>
      <c r="Z120" s="130"/>
      <c r="AA120" s="130"/>
      <c r="AB120" s="130"/>
      <c r="AC120" s="130"/>
      <c r="AD120" s="127"/>
      <c r="AE120" s="130"/>
      <c r="AF120" s="130"/>
      <c r="AG120" s="47"/>
    </row>
    <row r="121" spans="1:36" ht="15.75" x14ac:dyDescent="0.25">
      <c r="H121" s="38" t="s">
        <v>413</v>
      </c>
      <c r="Q121" s="132"/>
      <c r="R121" s="140">
        <v>256248</v>
      </c>
      <c r="S121" s="201">
        <v>250107</v>
      </c>
      <c r="T121" s="202">
        <v>305940</v>
      </c>
      <c r="U121" s="131"/>
      <c r="V121" s="133"/>
      <c r="W121" s="133"/>
      <c r="X121" s="130"/>
      <c r="Y121" s="130"/>
      <c r="Z121" s="130"/>
      <c r="AA121" s="130"/>
      <c r="AB121" s="130"/>
      <c r="AC121" s="130"/>
      <c r="AD121" s="127"/>
      <c r="AE121" s="130"/>
      <c r="AF121" s="130"/>
      <c r="AG121" s="47"/>
    </row>
    <row r="122" spans="1:36" ht="15.75" x14ac:dyDescent="0.25">
      <c r="H122" s="38" t="s">
        <v>414</v>
      </c>
      <c r="Q122" s="132"/>
      <c r="R122" s="131">
        <v>275000</v>
      </c>
      <c r="S122" s="131">
        <v>275000</v>
      </c>
      <c r="T122" s="131">
        <v>275000</v>
      </c>
      <c r="U122" s="131">
        <v>293000</v>
      </c>
      <c r="V122" s="131">
        <v>293000</v>
      </c>
      <c r="W122" s="131">
        <v>293000</v>
      </c>
      <c r="X122" s="131">
        <v>300000</v>
      </c>
      <c r="Y122" s="131">
        <v>300000</v>
      </c>
      <c r="Z122" s="131">
        <v>300000</v>
      </c>
      <c r="AA122" s="131">
        <v>300000</v>
      </c>
      <c r="AB122" s="131">
        <v>300000</v>
      </c>
      <c r="AC122" s="131">
        <v>300000</v>
      </c>
      <c r="AD122" s="127"/>
      <c r="AE122" s="131">
        <v>300000</v>
      </c>
      <c r="AF122" s="130"/>
      <c r="AG122" s="47"/>
    </row>
    <row r="123" spans="1:36" ht="15.75" x14ac:dyDescent="0.25">
      <c r="G123" s="75"/>
      <c r="H123" s="38" t="s">
        <v>406</v>
      </c>
      <c r="I123" s="76"/>
      <c r="J123" s="76"/>
      <c r="K123" s="76"/>
      <c r="L123" s="76"/>
      <c r="M123" s="76"/>
      <c r="N123" s="76"/>
      <c r="O123" s="77"/>
      <c r="P123" s="125"/>
      <c r="Q123" s="126"/>
      <c r="R123" s="128">
        <f>R122-R121</f>
        <v>18752</v>
      </c>
      <c r="S123" s="128">
        <f>S122-S121</f>
        <v>24893</v>
      </c>
      <c r="T123" s="128">
        <f>T122-T121</f>
        <v>-30940</v>
      </c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7"/>
      <c r="AE123" s="125"/>
      <c r="AF123" s="125"/>
      <c r="AG123" s="47"/>
      <c r="AH123" s="76"/>
      <c r="AI123" s="77"/>
      <c r="AJ123" s="90"/>
    </row>
    <row r="124" spans="1:36" ht="15.75" x14ac:dyDescent="0.25">
      <c r="Q124" s="132"/>
      <c r="R124" s="131"/>
      <c r="S124" s="134"/>
      <c r="T124" s="135"/>
      <c r="U124" s="131"/>
      <c r="V124" s="133"/>
      <c r="W124" s="133"/>
      <c r="X124" s="130"/>
      <c r="Y124" s="130"/>
      <c r="Z124" s="130"/>
      <c r="AA124" s="130"/>
      <c r="AB124" s="130"/>
      <c r="AC124" s="130"/>
      <c r="AD124" s="127"/>
      <c r="AE124" s="130"/>
      <c r="AF124" s="130"/>
      <c r="AG124" s="47"/>
    </row>
    <row r="125" spans="1:36" s="78" customFormat="1" ht="15.75" x14ac:dyDescent="0.25">
      <c r="A125"/>
      <c r="B125"/>
      <c r="C125" s="74"/>
      <c r="D125" s="74"/>
      <c r="E125" s="74"/>
      <c r="F125" s="74"/>
      <c r="G125" s="74"/>
      <c r="H125" s="38"/>
      <c r="O125" s="79"/>
      <c r="P125" s="130"/>
      <c r="Q125" s="132"/>
      <c r="R125" s="131"/>
      <c r="S125" s="134"/>
      <c r="T125" s="135"/>
      <c r="U125" s="131"/>
      <c r="V125" s="133"/>
      <c r="W125" s="133"/>
      <c r="X125" s="130"/>
      <c r="Y125" s="130"/>
      <c r="Z125" s="130"/>
      <c r="AA125" s="130"/>
      <c r="AB125" s="130"/>
      <c r="AC125" s="130"/>
      <c r="AD125" s="127"/>
      <c r="AE125" s="130"/>
      <c r="AF125" s="130"/>
      <c r="AG125" s="47"/>
      <c r="AI125" s="79"/>
      <c r="AJ125"/>
    </row>
    <row r="126" spans="1:36" s="78" customFormat="1" ht="15.75" x14ac:dyDescent="0.25">
      <c r="A126"/>
      <c r="B126"/>
      <c r="C126" s="74"/>
      <c r="D126" s="74"/>
      <c r="E126" s="74"/>
      <c r="F126" s="74"/>
      <c r="G126" s="74"/>
      <c r="H126" s="38" t="s">
        <v>415</v>
      </c>
      <c r="O126" s="79"/>
      <c r="P126" s="130"/>
      <c r="Q126" s="132"/>
      <c r="R126" s="140">
        <v>4126</v>
      </c>
      <c r="S126" s="201">
        <v>74711</v>
      </c>
      <c r="T126" s="202">
        <v>-101036</v>
      </c>
      <c r="U126" s="131"/>
      <c r="V126" s="133"/>
      <c r="W126" s="133"/>
      <c r="X126" s="130"/>
      <c r="Y126" s="130"/>
      <c r="Z126" s="130"/>
      <c r="AA126" s="130"/>
      <c r="AB126" s="130"/>
      <c r="AC126" s="130"/>
      <c r="AD126" s="127"/>
      <c r="AE126" s="130"/>
      <c r="AF126" s="130"/>
      <c r="AG126" s="47"/>
      <c r="AI126" s="79"/>
      <c r="AJ126"/>
    </row>
    <row r="127" spans="1:36" s="78" customFormat="1" ht="15.75" x14ac:dyDescent="0.25">
      <c r="A127"/>
      <c r="B127"/>
      <c r="C127" s="74"/>
      <c r="D127" s="74"/>
      <c r="E127" s="74"/>
      <c r="F127" s="74"/>
      <c r="G127" s="74"/>
      <c r="H127" s="38" t="s">
        <v>416</v>
      </c>
      <c r="O127" s="79"/>
      <c r="P127" s="130"/>
      <c r="Q127" s="132"/>
      <c r="R127" s="131">
        <f>R114*0.1</f>
        <v>24539.487342857145</v>
      </c>
      <c r="S127" s="131">
        <f>S114*0.1</f>
        <v>28123.852117857146</v>
      </c>
      <c r="T127" s="131">
        <f>T114*0.1</f>
        <v>35153.603477857148</v>
      </c>
      <c r="U127" s="131">
        <f>U114*0.1</f>
        <v>37877.609327857142</v>
      </c>
      <c r="V127" s="131">
        <f t="shared" ref="V127:AB127" si="25">V114*0.1</f>
        <v>44460.099457857141</v>
      </c>
      <c r="W127" s="131">
        <f>W114*0.1</f>
        <v>48899.89441785714</v>
      </c>
      <c r="X127" s="131">
        <f t="shared" si="25"/>
        <v>46609.959717857135</v>
      </c>
      <c r="Y127" s="131">
        <f t="shared" si="25"/>
        <v>48031.886800000007</v>
      </c>
      <c r="Z127" s="131">
        <f t="shared" si="25"/>
        <v>47006.840430000004</v>
      </c>
      <c r="AA127" s="131">
        <f t="shared" si="25"/>
        <v>54142.156279999996</v>
      </c>
      <c r="AB127" s="131">
        <f t="shared" si="25"/>
        <v>48250.101940000008</v>
      </c>
      <c r="AC127" s="131">
        <f>AC114*0.1+2995</f>
        <v>36904.511950000007</v>
      </c>
      <c r="AD127" s="127"/>
      <c r="AE127" s="130">
        <f>SUM(R127:AC127)</f>
        <v>500000.00326000003</v>
      </c>
      <c r="AF127" s="130"/>
      <c r="AG127" s="47"/>
      <c r="AI127" s="79"/>
      <c r="AJ127"/>
    </row>
    <row r="128" spans="1:36" ht="15.75" x14ac:dyDescent="0.25">
      <c r="G128" s="75"/>
      <c r="H128" s="38" t="s">
        <v>406</v>
      </c>
      <c r="I128" s="76"/>
      <c r="J128" s="76"/>
      <c r="K128" s="76"/>
      <c r="L128" s="76"/>
      <c r="M128" s="76"/>
      <c r="N128" s="76"/>
      <c r="O128" s="77"/>
      <c r="P128" s="125"/>
      <c r="Q128" s="126"/>
      <c r="R128" s="128">
        <f>R126-R127</f>
        <v>-20413.487342857145</v>
      </c>
      <c r="S128" s="128">
        <f>S126-S127</f>
        <v>46587.147882142854</v>
      </c>
      <c r="T128" s="128">
        <f>T126-T127</f>
        <v>-136189.60347785713</v>
      </c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7"/>
      <c r="AE128" s="125"/>
      <c r="AF128" s="125"/>
      <c r="AG128" s="47"/>
      <c r="AH128" s="76"/>
      <c r="AI128" s="77"/>
      <c r="AJ128" s="90"/>
    </row>
    <row r="129" spans="1:36" s="78" customFormat="1" ht="15.75" x14ac:dyDescent="0.25">
      <c r="A129"/>
      <c r="B129"/>
      <c r="C129" s="74"/>
      <c r="D129" s="74"/>
      <c r="E129" s="74"/>
      <c r="F129" s="74"/>
      <c r="G129" s="74"/>
      <c r="H129" s="38"/>
      <c r="O129" s="79"/>
      <c r="P129" s="130"/>
      <c r="Q129" s="132"/>
      <c r="R129" s="131"/>
      <c r="S129" s="134"/>
      <c r="T129" s="135"/>
      <c r="U129" s="131"/>
      <c r="V129" s="133"/>
      <c r="W129" s="133"/>
      <c r="X129" s="130"/>
      <c r="Y129" s="130"/>
      <c r="Z129" s="130"/>
      <c r="AA129" s="130"/>
      <c r="AB129" s="130"/>
      <c r="AC129" s="130"/>
      <c r="AD129" s="132"/>
      <c r="AE129" s="130"/>
      <c r="AF129" s="130"/>
      <c r="AG129" s="47"/>
      <c r="AI129" s="79"/>
      <c r="AJ129"/>
    </row>
    <row r="130" spans="1:36" s="78" customFormat="1" ht="15.75" x14ac:dyDescent="0.25">
      <c r="A130"/>
      <c r="B130"/>
      <c r="C130" s="74"/>
      <c r="D130" s="74"/>
      <c r="E130" s="74"/>
      <c r="F130" s="74"/>
      <c r="G130" s="74"/>
      <c r="H130" s="38"/>
      <c r="O130" s="79"/>
      <c r="P130" s="130"/>
      <c r="Q130" s="79"/>
      <c r="R130" s="80"/>
      <c r="S130" s="3"/>
      <c r="T130" s="8"/>
      <c r="U130" s="80"/>
      <c r="V130" s="81"/>
      <c r="W130" s="81"/>
      <c r="AD130" s="79"/>
      <c r="AG130" s="47"/>
      <c r="AI130" s="79"/>
      <c r="AJ130"/>
    </row>
    <row r="131" spans="1:36" s="78" customFormat="1" ht="15.75" x14ac:dyDescent="0.25">
      <c r="A131"/>
      <c r="B131"/>
      <c r="C131" s="74"/>
      <c r="D131" s="74"/>
      <c r="E131" s="74"/>
      <c r="F131" s="74"/>
      <c r="G131" s="74"/>
      <c r="H131" s="38"/>
      <c r="O131" s="79"/>
      <c r="P131" s="130"/>
      <c r="Q131" s="79"/>
      <c r="R131" s="80"/>
      <c r="S131" s="3"/>
      <c r="T131" s="8"/>
      <c r="U131" s="80"/>
      <c r="V131" s="81"/>
      <c r="W131" s="81"/>
      <c r="AD131" s="79"/>
      <c r="AG131" s="47"/>
      <c r="AI131" s="79"/>
      <c r="AJ131"/>
    </row>
    <row r="132" spans="1:36" s="78" customFormat="1" ht="15.75" x14ac:dyDescent="0.25">
      <c r="A132"/>
      <c r="B132"/>
      <c r="C132" s="74"/>
      <c r="D132" s="74"/>
      <c r="E132" s="74"/>
      <c r="F132" s="74"/>
      <c r="G132" s="74"/>
      <c r="H132" s="38"/>
      <c r="O132" s="79"/>
      <c r="P132" s="130"/>
      <c r="Q132" s="79"/>
      <c r="R132" s="80"/>
      <c r="S132" s="3"/>
      <c r="T132" s="8"/>
      <c r="U132" s="80"/>
      <c r="V132" s="81"/>
      <c r="W132" s="81"/>
      <c r="AD132" s="79"/>
      <c r="AG132" s="47"/>
      <c r="AI132" s="79"/>
      <c r="AJ132"/>
    </row>
    <row r="133" spans="1:36" s="78" customFormat="1" ht="15.75" x14ac:dyDescent="0.25">
      <c r="A133"/>
      <c r="B133"/>
      <c r="C133" s="74"/>
      <c r="D133" s="74"/>
      <c r="E133" s="74"/>
      <c r="F133" s="74"/>
      <c r="G133" s="74"/>
      <c r="H133" s="38"/>
      <c r="O133" s="79"/>
      <c r="P133" s="130"/>
      <c r="Q133" s="79"/>
      <c r="R133" s="80"/>
      <c r="S133" s="3"/>
      <c r="T133" s="8"/>
      <c r="U133" s="80"/>
      <c r="V133" s="81"/>
      <c r="W133" s="81"/>
      <c r="AD133" s="79"/>
      <c r="AG133" s="47"/>
      <c r="AI133" s="79"/>
      <c r="AJ133"/>
    </row>
    <row r="134" spans="1:36" s="78" customFormat="1" ht="15.75" x14ac:dyDescent="0.25">
      <c r="A134"/>
      <c r="B134"/>
      <c r="C134" s="74"/>
      <c r="D134" s="74"/>
      <c r="E134" s="74"/>
      <c r="F134" s="74"/>
      <c r="G134" s="74"/>
      <c r="H134" s="38"/>
      <c r="O134" s="79"/>
      <c r="P134" s="130"/>
      <c r="Q134" s="79"/>
      <c r="R134" s="80"/>
      <c r="S134" s="3"/>
      <c r="T134" s="8"/>
      <c r="U134" s="80"/>
      <c r="V134" s="81"/>
      <c r="W134" s="81"/>
      <c r="AD134" s="79"/>
      <c r="AG134" s="47"/>
      <c r="AI134" s="79"/>
      <c r="AJ134"/>
    </row>
    <row r="135" spans="1:36" s="78" customFormat="1" ht="15.75" x14ac:dyDescent="0.25">
      <c r="A135"/>
      <c r="B135"/>
      <c r="C135" s="74"/>
      <c r="D135" s="74"/>
      <c r="E135" s="74"/>
      <c r="F135" s="74"/>
      <c r="G135" s="74"/>
      <c r="H135" s="38"/>
      <c r="O135" s="79"/>
      <c r="P135" s="130"/>
      <c r="Q135" s="79"/>
      <c r="R135" s="80"/>
      <c r="S135" s="3"/>
      <c r="T135" s="8"/>
      <c r="U135" s="80"/>
      <c r="V135" s="81"/>
      <c r="W135" s="81"/>
      <c r="AD135" s="79"/>
      <c r="AG135" s="79"/>
      <c r="AI135" s="79"/>
      <c r="AJ135"/>
    </row>
    <row r="136" spans="1:36" s="78" customFormat="1" x14ac:dyDescent="0.25">
      <c r="A136"/>
      <c r="B136"/>
      <c r="C136" s="74"/>
      <c r="D136" s="74"/>
      <c r="E136" s="74"/>
      <c r="F136" s="74"/>
      <c r="G136" s="74"/>
      <c r="H136" s="38"/>
      <c r="O136" s="79"/>
      <c r="P136" s="130"/>
      <c r="Q136" s="79"/>
      <c r="R136" s="80"/>
      <c r="S136" s="80"/>
      <c r="T136" s="80"/>
      <c r="U136" s="80"/>
      <c r="V136" s="81"/>
      <c r="W136" s="81"/>
      <c r="AD136" s="79"/>
      <c r="AG136" s="79"/>
      <c r="AI136" s="79"/>
      <c r="AJ136"/>
    </row>
  </sheetData>
  <mergeCells count="1">
    <mergeCell ref="R1:AC1"/>
  </mergeCells>
  <conditionalFormatting sqref="AH4:AH13 AH23:AH32 AH63 AH105 AH47:AH61 AH74:AH103 AH66:AH71 AH16:AH18 AH20">
    <cfRule type="cellIs" dxfId="2096" priority="98" operator="lessThan">
      <formula>I4</formula>
    </cfRule>
    <cfRule type="cellIs" dxfId="2095" priority="99" operator="greaterThan">
      <formula>I4</formula>
    </cfRule>
    <cfRule type="cellIs" dxfId="2094" priority="100" operator="equal">
      <formula>I4</formula>
    </cfRule>
  </conditionalFormatting>
  <conditionalFormatting sqref="AH34 AH36">
    <cfRule type="cellIs" dxfId="2093" priority="94" operator="greaterThan">
      <formula>$I$34</formula>
    </cfRule>
    <cfRule type="cellIs" dxfId="2092" priority="95" operator="lessThan">
      <formula>$I$34</formula>
    </cfRule>
    <cfRule type="cellIs" dxfId="2091" priority="96" operator="equal">
      <formula>$I$34</formula>
    </cfRule>
    <cfRule type="cellIs" dxfId="2090" priority="97" operator="equal">
      <formula>$P$34</formula>
    </cfRule>
  </conditionalFormatting>
  <conditionalFormatting sqref="E45 E120:E122 E124:E127 E129:E1048576 E47:E49 E51:E63 E25:E37 E66:E114 E1:E18 E20 E22:E23">
    <cfRule type="cellIs" dxfId="2089" priority="92" operator="equal">
      <formula>"no"</formula>
    </cfRule>
    <cfRule type="cellIs" dxfId="2088" priority="93" operator="equal">
      <formula>"yes"</formula>
    </cfRule>
  </conditionalFormatting>
  <conditionalFormatting sqref="E24">
    <cfRule type="cellIs" dxfId="2087" priority="90" operator="equal">
      <formula>"no"</formula>
    </cfRule>
    <cfRule type="cellIs" dxfId="2086" priority="91" operator="equal">
      <formula>"yes"</formula>
    </cfRule>
  </conditionalFormatting>
  <conditionalFormatting sqref="E50">
    <cfRule type="cellIs" dxfId="2085" priority="88" operator="equal">
      <formula>"no"</formula>
    </cfRule>
    <cfRule type="cellIs" dxfId="2084" priority="89" operator="equal">
      <formula>"yes"</formula>
    </cfRule>
  </conditionalFormatting>
  <conditionalFormatting sqref="I4:I12 I63 I47:I60 I34:I36 I88:I102 I66:I83 I20">
    <cfRule type="cellIs" dxfId="2083" priority="87" operator="equal">
      <formula>0</formula>
    </cfRule>
  </conditionalFormatting>
  <conditionalFormatting sqref="I15:I17">
    <cfRule type="cellIs" dxfId="2082" priority="86" operator="equal">
      <formula>0</formula>
    </cfRule>
  </conditionalFormatting>
  <conditionalFormatting sqref="AH15">
    <cfRule type="cellIs" dxfId="2081" priority="83" operator="lessThan">
      <formula>I15</formula>
    </cfRule>
    <cfRule type="cellIs" dxfId="2080" priority="84" operator="greaterThan">
      <formula>I15</formula>
    </cfRule>
    <cfRule type="cellIs" dxfId="2079" priority="85" operator="equal">
      <formula>I15</formula>
    </cfRule>
  </conditionalFormatting>
  <conditionalFormatting sqref="AH39:AH43">
    <cfRule type="cellIs" dxfId="2078" priority="80" operator="lessThan">
      <formula>I39</formula>
    </cfRule>
    <cfRule type="cellIs" dxfId="2077" priority="81" operator="greaterThan">
      <formula>I39</formula>
    </cfRule>
    <cfRule type="cellIs" dxfId="2076" priority="82" operator="equal">
      <formula>I39</formula>
    </cfRule>
  </conditionalFormatting>
  <conditionalFormatting sqref="E38:E43">
    <cfRule type="cellIs" dxfId="2075" priority="78" operator="equal">
      <formula>"no"</formula>
    </cfRule>
    <cfRule type="cellIs" dxfId="2074" priority="79" operator="equal">
      <formula>"yes"</formula>
    </cfRule>
  </conditionalFormatting>
  <conditionalFormatting sqref="AH44">
    <cfRule type="cellIs" dxfId="2073" priority="75" operator="lessThan">
      <formula>I44</formula>
    </cfRule>
    <cfRule type="cellIs" dxfId="2072" priority="76" operator="greaterThan">
      <formula>I44</formula>
    </cfRule>
    <cfRule type="cellIs" dxfId="2071" priority="77" operator="equal">
      <formula>I44</formula>
    </cfRule>
  </conditionalFormatting>
  <conditionalFormatting sqref="E44">
    <cfRule type="cellIs" dxfId="2070" priority="73" operator="equal">
      <formula>"no"</formula>
    </cfRule>
    <cfRule type="cellIs" dxfId="2069" priority="74" operator="equal">
      <formula>"yes"</formula>
    </cfRule>
  </conditionalFormatting>
  <conditionalFormatting sqref="D120:D122 D124:D127 D129:D1048576 D47:D63 D66:D114 D1:D18 D20 D22:D45">
    <cfRule type="cellIs" dxfId="2068" priority="72" operator="equal">
      <formula>"TBD"</formula>
    </cfRule>
  </conditionalFormatting>
  <conditionalFormatting sqref="R107:AC107">
    <cfRule type="cellIs" dxfId="2067" priority="49" operator="equal">
      <formula>0</formula>
    </cfRule>
    <cfRule type="cellIs" dxfId="2066" priority="70" operator="lessThan">
      <formula>0</formula>
    </cfRule>
    <cfRule type="cellIs" dxfId="2065" priority="71" operator="greaterThan">
      <formula>0</formula>
    </cfRule>
  </conditionalFormatting>
  <conditionalFormatting sqref="E115:E119">
    <cfRule type="cellIs" dxfId="2064" priority="68" operator="equal">
      <formula>"no"</formula>
    </cfRule>
    <cfRule type="cellIs" dxfId="2063" priority="69" operator="equal">
      <formula>"yes"</formula>
    </cfRule>
  </conditionalFormatting>
  <conditionalFormatting sqref="D115:D119">
    <cfRule type="cellIs" dxfId="2062" priority="67" operator="equal">
      <formula>"TBD"</formula>
    </cfRule>
  </conditionalFormatting>
  <conditionalFormatting sqref="R115:AC116">
    <cfRule type="cellIs" dxfId="2061" priority="65" operator="lessThan">
      <formula>0</formula>
    </cfRule>
    <cfRule type="cellIs" dxfId="2060" priority="66" operator="greaterThan">
      <formula>0</formula>
    </cfRule>
  </conditionalFormatting>
  <conditionalFormatting sqref="E123">
    <cfRule type="cellIs" dxfId="2059" priority="63" operator="equal">
      <formula>"no"</formula>
    </cfRule>
    <cfRule type="cellIs" dxfId="2058" priority="64" operator="equal">
      <formula>"yes"</formula>
    </cfRule>
  </conditionalFormatting>
  <conditionalFormatting sqref="D123">
    <cfRule type="cellIs" dxfId="2057" priority="62" operator="equal">
      <formula>"TBD"</formula>
    </cfRule>
  </conditionalFormatting>
  <conditionalFormatting sqref="R123:AC123">
    <cfRule type="cellIs" dxfId="2056" priority="60" operator="lessThan">
      <formula>0</formula>
    </cfRule>
    <cfRule type="cellIs" dxfId="2055" priority="61" operator="greaterThan">
      <formula>0</formula>
    </cfRule>
  </conditionalFormatting>
  <conditionalFormatting sqref="E128">
    <cfRule type="cellIs" dxfId="2054" priority="58" operator="equal">
      <formula>"no"</formula>
    </cfRule>
    <cfRule type="cellIs" dxfId="2053" priority="59" operator="equal">
      <formula>"yes"</formula>
    </cfRule>
  </conditionalFormatting>
  <conditionalFormatting sqref="D128">
    <cfRule type="cellIs" dxfId="2052" priority="57" operator="equal">
      <formula>"TBD"</formula>
    </cfRule>
  </conditionalFormatting>
  <conditionalFormatting sqref="R128:AC128">
    <cfRule type="cellIs" dxfId="2051" priority="55" operator="lessThan">
      <formula>0</formula>
    </cfRule>
    <cfRule type="cellIs" dxfId="2050" priority="56" operator="greaterThan">
      <formula>0</formula>
    </cfRule>
  </conditionalFormatting>
  <conditionalFormatting sqref="P107">
    <cfRule type="cellIs" dxfId="2049" priority="53" operator="lessThan">
      <formula>0</formula>
    </cfRule>
    <cfRule type="cellIs" dxfId="2048" priority="54" operator="greaterThan">
      <formula>0</formula>
    </cfRule>
  </conditionalFormatting>
  <conditionalFormatting sqref="R111:T111">
    <cfRule type="cellIs" dxfId="2047" priority="50" operator="equal">
      <formula>0</formula>
    </cfRule>
    <cfRule type="cellIs" dxfId="2046" priority="51" operator="lessThan">
      <formula>0</formula>
    </cfRule>
    <cfRule type="cellIs" dxfId="2045" priority="52" operator="greaterThan">
      <formula>0</formula>
    </cfRule>
  </conditionalFormatting>
  <conditionalFormatting sqref="R119:T119">
    <cfRule type="cellIs" dxfId="2044" priority="46" operator="lessThan">
      <formula>0</formula>
    </cfRule>
    <cfRule type="cellIs" dxfId="2043" priority="47" operator="equal">
      <formula>0</formula>
    </cfRule>
    <cfRule type="cellIs" dxfId="2042" priority="48" operator="greaterThan">
      <formula>0</formula>
    </cfRule>
  </conditionalFormatting>
  <conditionalFormatting sqref="AH46">
    <cfRule type="cellIs" dxfId="2041" priority="43" operator="lessThan">
      <formula>I46</formula>
    </cfRule>
    <cfRule type="cellIs" dxfId="2040" priority="44" operator="greaterThan">
      <formula>I46</formula>
    </cfRule>
    <cfRule type="cellIs" dxfId="2039" priority="45" operator="equal">
      <formula>I46</formula>
    </cfRule>
  </conditionalFormatting>
  <conditionalFormatting sqref="E46">
    <cfRule type="cellIs" dxfId="2038" priority="41" operator="equal">
      <formula>"no"</formula>
    </cfRule>
    <cfRule type="cellIs" dxfId="2037" priority="42" operator="equal">
      <formula>"yes"</formula>
    </cfRule>
  </conditionalFormatting>
  <conditionalFormatting sqref="I46">
    <cfRule type="cellIs" dxfId="2036" priority="40" operator="equal">
      <formula>0</formula>
    </cfRule>
  </conditionalFormatting>
  <conditionalFormatting sqref="D46">
    <cfRule type="cellIs" dxfId="2035" priority="39" operator="equal">
      <formula>"TBD"</formula>
    </cfRule>
  </conditionalFormatting>
  <conditionalFormatting sqref="AH37">
    <cfRule type="cellIs" dxfId="2034" priority="24" operator="lessThan">
      <formula>I37</formula>
    </cfRule>
    <cfRule type="cellIs" dxfId="2033" priority="25" operator="greaterThan">
      <formula>I37</formula>
    </cfRule>
    <cfRule type="cellIs" dxfId="2032" priority="26" operator="equal">
      <formula>I37</formula>
    </cfRule>
  </conditionalFormatting>
  <conditionalFormatting sqref="AH33">
    <cfRule type="cellIs" dxfId="2031" priority="36" operator="lessThan">
      <formula>I33</formula>
    </cfRule>
    <cfRule type="cellIs" dxfId="2030" priority="37" operator="greaterThan">
      <formula>I33</formula>
    </cfRule>
    <cfRule type="cellIs" dxfId="2029" priority="38" operator="equal">
      <formula>I33</formula>
    </cfRule>
  </conditionalFormatting>
  <conditionalFormatting sqref="AH72">
    <cfRule type="cellIs" dxfId="2028" priority="33" operator="lessThan">
      <formula>I72</formula>
    </cfRule>
    <cfRule type="cellIs" dxfId="2027" priority="34" operator="greaterThan">
      <formula>I72</formula>
    </cfRule>
    <cfRule type="cellIs" dxfId="2026" priority="35" operator="equal">
      <formula>I72</formula>
    </cfRule>
  </conditionalFormatting>
  <conditionalFormatting sqref="AH73">
    <cfRule type="cellIs" dxfId="2025" priority="30" operator="lessThan">
      <formula>I73</formula>
    </cfRule>
    <cfRule type="cellIs" dxfId="2024" priority="31" operator="greaterThan">
      <formula>I73</formula>
    </cfRule>
    <cfRule type="cellIs" dxfId="2023" priority="32" operator="equal">
      <formula>I73</formula>
    </cfRule>
  </conditionalFormatting>
  <conditionalFormatting sqref="AH35">
    <cfRule type="cellIs" dxfId="2022" priority="27" operator="lessThan">
      <formula>I35</formula>
    </cfRule>
    <cfRule type="cellIs" dxfId="2021" priority="28" operator="greaterThan">
      <formula>I35</formula>
    </cfRule>
    <cfRule type="cellIs" dxfId="2020" priority="29" operator="equal">
      <formula>I35</formula>
    </cfRule>
  </conditionalFormatting>
  <conditionalFormatting sqref="AH65">
    <cfRule type="cellIs" dxfId="2019" priority="21" operator="lessThan">
      <formula>I65</formula>
    </cfRule>
    <cfRule type="cellIs" dxfId="2018" priority="22" operator="greaterThan">
      <formula>I65</formula>
    </cfRule>
    <cfRule type="cellIs" dxfId="2017" priority="23" operator="equal">
      <formula>I65</formula>
    </cfRule>
  </conditionalFormatting>
  <conditionalFormatting sqref="E65">
    <cfRule type="cellIs" dxfId="2016" priority="19" operator="equal">
      <formula>"no"</formula>
    </cfRule>
    <cfRule type="cellIs" dxfId="2015" priority="20" operator="equal">
      <formula>"yes"</formula>
    </cfRule>
  </conditionalFormatting>
  <conditionalFormatting sqref="I65">
    <cfRule type="cellIs" dxfId="2014" priority="18" operator="equal">
      <formula>0</formula>
    </cfRule>
  </conditionalFormatting>
  <conditionalFormatting sqref="D65">
    <cfRule type="cellIs" dxfId="2013" priority="17" operator="equal">
      <formula>"TBD"</formula>
    </cfRule>
  </conditionalFormatting>
  <conditionalFormatting sqref="AH64">
    <cfRule type="cellIs" dxfId="2012" priority="14" operator="lessThan">
      <formula>I64</formula>
    </cfRule>
    <cfRule type="cellIs" dxfId="2011" priority="15" operator="greaterThan">
      <formula>I64</formula>
    </cfRule>
    <cfRule type="cellIs" dxfId="2010" priority="16" operator="equal">
      <formula>I64</formula>
    </cfRule>
  </conditionalFormatting>
  <conditionalFormatting sqref="E64">
    <cfRule type="cellIs" dxfId="2009" priority="12" operator="equal">
      <formula>"no"</formula>
    </cfRule>
    <cfRule type="cellIs" dxfId="2008" priority="13" operator="equal">
      <formula>"yes"</formula>
    </cfRule>
  </conditionalFormatting>
  <conditionalFormatting sqref="I64">
    <cfRule type="cellIs" dxfId="2007" priority="11" operator="equal">
      <formula>0</formula>
    </cfRule>
  </conditionalFormatting>
  <conditionalFormatting sqref="D64">
    <cfRule type="cellIs" dxfId="2006" priority="10" operator="equal">
      <formula>"TBD"</formula>
    </cfRule>
  </conditionalFormatting>
  <conditionalFormatting sqref="E19">
    <cfRule type="cellIs" dxfId="2005" priority="8" operator="equal">
      <formula>"no"</formula>
    </cfRule>
    <cfRule type="cellIs" dxfId="2004" priority="9" operator="equal">
      <formula>"yes"</formula>
    </cfRule>
  </conditionalFormatting>
  <conditionalFormatting sqref="D19">
    <cfRule type="cellIs" dxfId="2003" priority="7" operator="equal">
      <formula>"TBD"</formula>
    </cfRule>
  </conditionalFormatting>
  <conditionalFormatting sqref="AH21">
    <cfRule type="cellIs" dxfId="2002" priority="4" operator="lessThan">
      <formula>I21</formula>
    </cfRule>
    <cfRule type="cellIs" dxfId="2001" priority="5" operator="greaterThan">
      <formula>I21</formula>
    </cfRule>
    <cfRule type="cellIs" dxfId="2000" priority="6" operator="equal">
      <formula>I21</formula>
    </cfRule>
  </conditionalFormatting>
  <conditionalFormatting sqref="E21">
    <cfRule type="cellIs" dxfId="1999" priority="2" operator="equal">
      <formula>"no"</formula>
    </cfRule>
    <cfRule type="cellIs" dxfId="1998" priority="3" operator="equal">
      <formula>"yes"</formula>
    </cfRule>
  </conditionalFormatting>
  <conditionalFormatting sqref="D21">
    <cfRule type="cellIs" dxfId="1997" priority="1" operator="equal">
      <formula>"TBD"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C45A-4653-4C81-AA66-95D378DAAC9F}">
  <dimension ref="A1:AK140"/>
  <sheetViews>
    <sheetView zoomScale="72" zoomScaleNormal="72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RowHeight="15" x14ac:dyDescent="0.25"/>
  <cols>
    <col min="1" max="1" width="12.42578125" customWidth="1"/>
    <col min="2" max="2" width="43.5703125" bestFit="1" customWidth="1"/>
    <col min="3" max="3" width="5.5703125" style="74" customWidth="1"/>
    <col min="4" max="5" width="11.5703125" style="74" customWidth="1"/>
    <col min="6" max="6" width="13.5703125" style="74" customWidth="1"/>
    <col min="7" max="7" width="12.5703125" style="74" customWidth="1"/>
    <col min="8" max="8" width="14.5703125" style="38" customWidth="1"/>
    <col min="9" max="9" width="18.5703125" style="78" customWidth="1"/>
    <col min="10" max="14" width="15.5703125" style="78" hidden="1" customWidth="1"/>
    <col min="15" max="15" width="4" style="79" customWidth="1"/>
    <col min="16" max="16" width="17.42578125" style="130" bestFit="1" customWidth="1"/>
    <col min="17" max="17" width="3.42578125" style="79" customWidth="1"/>
    <col min="18" max="20" width="19.5703125" style="78" customWidth="1"/>
    <col min="21" max="23" width="19.5703125" style="81" customWidth="1"/>
    <col min="24" max="29" width="19.5703125" style="78" hidden="1" customWidth="1"/>
    <col min="30" max="30" width="4" style="79" customWidth="1"/>
    <col min="31" max="31" width="18.42578125" style="78" customWidth="1"/>
    <col min="32" max="32" width="16.5703125" style="78" customWidth="1"/>
    <col min="33" max="33" width="3.42578125" style="79" customWidth="1"/>
    <col min="34" max="34" width="17.42578125" style="78" customWidth="1"/>
    <col min="35" max="35" width="3.42578125" style="79" customWidth="1"/>
    <col min="36" max="36" width="17.5703125" customWidth="1"/>
    <col min="37" max="37" width="8.5703125" customWidth="1"/>
  </cols>
  <sheetData>
    <row r="1" spans="1:36" s="36" customFormat="1" x14ac:dyDescent="0.25">
      <c r="C1" s="37"/>
      <c r="D1" s="37"/>
      <c r="E1" s="37"/>
      <c r="F1" s="37"/>
      <c r="G1" s="37"/>
      <c r="H1" s="38"/>
      <c r="I1" s="39"/>
      <c r="J1" s="39"/>
      <c r="K1" s="39"/>
      <c r="L1" s="39"/>
      <c r="M1" s="39"/>
      <c r="N1" s="39"/>
      <c r="O1" s="40"/>
      <c r="P1" s="188">
        <v>2020</v>
      </c>
      <c r="Q1" s="42"/>
      <c r="R1" s="526">
        <v>2021</v>
      </c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8"/>
      <c r="AD1" s="40"/>
      <c r="AE1" s="41">
        <v>2022</v>
      </c>
      <c r="AF1" s="43">
        <v>2023</v>
      </c>
      <c r="AG1" s="42"/>
      <c r="AH1" s="41"/>
      <c r="AI1" s="42"/>
    </row>
    <row r="2" spans="1:36" s="36" customFormat="1" ht="31.5" x14ac:dyDescent="0.25">
      <c r="A2" s="62"/>
      <c r="B2" s="63"/>
      <c r="C2" s="44" t="s">
        <v>342</v>
      </c>
      <c r="D2" s="44" t="s">
        <v>343</v>
      </c>
      <c r="E2" s="44" t="s">
        <v>344</v>
      </c>
      <c r="F2" s="44" t="s">
        <v>345</v>
      </c>
      <c r="G2" s="44" t="s">
        <v>346</v>
      </c>
      <c r="H2" s="45" t="s">
        <v>347</v>
      </c>
      <c r="I2" s="46" t="s">
        <v>348</v>
      </c>
      <c r="J2" s="46" t="s">
        <v>349</v>
      </c>
      <c r="K2" s="82" t="s">
        <v>350</v>
      </c>
      <c r="L2" s="82" t="s">
        <v>351</v>
      </c>
      <c r="M2" s="82" t="s">
        <v>350</v>
      </c>
      <c r="N2" s="82"/>
      <c r="O2" s="47"/>
      <c r="P2" s="129" t="s">
        <v>352</v>
      </c>
      <c r="Q2" s="47"/>
      <c r="R2" s="46" t="s">
        <v>353</v>
      </c>
      <c r="S2" s="46" t="s">
        <v>354</v>
      </c>
      <c r="T2" s="46" t="s">
        <v>355</v>
      </c>
      <c r="U2" s="48" t="s">
        <v>356</v>
      </c>
      <c r="V2" s="48" t="s">
        <v>357</v>
      </c>
      <c r="W2" s="46" t="s">
        <v>358</v>
      </c>
      <c r="X2" s="46" t="s">
        <v>359</v>
      </c>
      <c r="Y2" s="48" t="s">
        <v>360</v>
      </c>
      <c r="Z2" s="46" t="s">
        <v>361</v>
      </c>
      <c r="AA2" s="46" t="s">
        <v>362</v>
      </c>
      <c r="AB2" s="48" t="s">
        <v>363</v>
      </c>
      <c r="AC2" s="46" t="s">
        <v>364</v>
      </c>
      <c r="AD2" s="47"/>
      <c r="AE2" s="46" t="s">
        <v>352</v>
      </c>
      <c r="AF2" s="48" t="s">
        <v>352</v>
      </c>
      <c r="AG2" s="47"/>
      <c r="AH2" s="46" t="s">
        <v>365</v>
      </c>
      <c r="AI2" s="47"/>
      <c r="AJ2" s="49" t="s">
        <v>366</v>
      </c>
    </row>
    <row r="3" spans="1:36" s="36" customFormat="1" ht="15.75" x14ac:dyDescent="0.25">
      <c r="A3" s="106" t="s">
        <v>400</v>
      </c>
      <c r="B3" s="107"/>
      <c r="C3" s="101" t="s">
        <v>368</v>
      </c>
      <c r="D3" s="102"/>
      <c r="E3" s="102"/>
      <c r="F3" s="102"/>
      <c r="G3" s="102"/>
      <c r="H3" s="84"/>
      <c r="I3" s="103"/>
      <c r="J3" s="103"/>
      <c r="K3" s="103"/>
      <c r="L3" s="103"/>
      <c r="M3" s="103"/>
      <c r="N3" s="103"/>
      <c r="O3" s="47"/>
      <c r="P3" s="85"/>
      <c r="Q3" s="47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47"/>
      <c r="AE3" s="103"/>
      <c r="AF3" s="103"/>
      <c r="AG3" s="47"/>
      <c r="AH3" s="103"/>
      <c r="AI3" s="51"/>
    </row>
    <row r="4" spans="1:36" s="36" customFormat="1" ht="15.75" x14ac:dyDescent="0.25">
      <c r="A4" s="104" t="s">
        <v>288</v>
      </c>
      <c r="B4" s="105" t="s">
        <v>289</v>
      </c>
      <c r="C4" s="52" t="s">
        <v>368</v>
      </c>
      <c r="D4" s="52" t="s">
        <v>369</v>
      </c>
      <c r="E4" s="52" t="s">
        <v>370</v>
      </c>
      <c r="F4" s="87" t="e">
        <f>#REF!</f>
        <v>#REF!</v>
      </c>
      <c r="G4" s="87" t="e">
        <f>#REF!</f>
        <v>#REF!</v>
      </c>
      <c r="H4" s="88" t="e">
        <f t="shared" ref="H4:H12" si="0">((G4-F4)/7)/4.3</f>
        <v>#REF!</v>
      </c>
      <c r="I4" s="181">
        <v>845876</v>
      </c>
      <c r="J4" s="53"/>
      <c r="K4" s="53"/>
      <c r="L4" s="53"/>
      <c r="M4" s="53"/>
      <c r="N4" s="53"/>
      <c r="O4" s="47"/>
      <c r="P4" s="115">
        <v>628337</v>
      </c>
      <c r="Q4" s="47"/>
      <c r="R4" s="115">
        <v>137155</v>
      </c>
      <c r="S4" s="177">
        <v>19492</v>
      </c>
      <c r="T4" s="115">
        <v>60892</v>
      </c>
      <c r="U4" s="209">
        <v>0</v>
      </c>
      <c r="V4" s="115">
        <v>0</v>
      </c>
      <c r="W4" s="53"/>
      <c r="X4" s="53"/>
      <c r="Y4" s="53"/>
      <c r="Z4" s="53"/>
      <c r="AA4" s="53"/>
      <c r="AB4" s="53"/>
      <c r="AC4" s="53"/>
      <c r="AD4" s="47"/>
      <c r="AE4" s="53"/>
      <c r="AF4" s="53"/>
      <c r="AG4" s="47"/>
      <c r="AH4" s="53">
        <f>SUM(P4:AG4)</f>
        <v>845876</v>
      </c>
      <c r="AI4" s="51"/>
      <c r="AJ4" s="55">
        <f t="shared" ref="AJ4:AJ18" si="1">I4-AH4</f>
        <v>0</v>
      </c>
    </row>
    <row r="5" spans="1:36" s="36" customFormat="1" ht="15.75" x14ac:dyDescent="0.25">
      <c r="A5" s="56" t="s">
        <v>292</v>
      </c>
      <c r="B5" s="57" t="s">
        <v>293</v>
      </c>
      <c r="C5" s="52" t="s">
        <v>368</v>
      </c>
      <c r="D5" s="52" t="s">
        <v>369</v>
      </c>
      <c r="E5" s="52" t="s">
        <v>370</v>
      </c>
      <c r="F5" s="87" t="e">
        <f>#REF!</f>
        <v>#REF!</v>
      </c>
      <c r="G5" s="87" t="e">
        <f>#REF!</f>
        <v>#REF!</v>
      </c>
      <c r="H5" s="88" t="e">
        <f t="shared" si="0"/>
        <v>#REF!</v>
      </c>
      <c r="I5" s="211">
        <v>303150</v>
      </c>
      <c r="J5" s="53"/>
      <c r="K5" s="53"/>
      <c r="L5" s="53"/>
      <c r="M5" s="53"/>
      <c r="N5" s="53"/>
      <c r="O5" s="47"/>
      <c r="P5" s="115">
        <v>162612</v>
      </c>
      <c r="Q5" s="47"/>
      <c r="R5" s="115">
        <v>95646</v>
      </c>
      <c r="S5" s="177">
        <v>33342</v>
      </c>
      <c r="T5" s="115">
        <v>5713</v>
      </c>
      <c r="U5" s="209">
        <v>5836.8</v>
      </c>
      <c r="V5" s="115">
        <v>0</v>
      </c>
      <c r="W5" s="53"/>
      <c r="X5" s="53"/>
      <c r="Y5" s="53"/>
      <c r="Z5" s="53"/>
      <c r="AA5" s="53"/>
      <c r="AB5" s="53"/>
      <c r="AC5" s="53"/>
      <c r="AD5" s="47"/>
      <c r="AE5" s="53"/>
      <c r="AF5" s="53"/>
      <c r="AG5" s="47"/>
      <c r="AH5" s="53">
        <f t="shared" ref="AH5:AH11" si="2">SUM(P5:AG5)</f>
        <v>303149.8</v>
      </c>
      <c r="AI5" s="51"/>
      <c r="AJ5" s="55">
        <f t="shared" si="1"/>
        <v>0.20000000001164153</v>
      </c>
    </row>
    <row r="6" spans="1:36" s="36" customFormat="1" ht="15.75" x14ac:dyDescent="0.25">
      <c r="A6" s="56" t="s">
        <v>295</v>
      </c>
      <c r="B6" s="57" t="s">
        <v>296</v>
      </c>
      <c r="C6" s="52" t="s">
        <v>368</v>
      </c>
      <c r="D6" s="52" t="s">
        <v>369</v>
      </c>
      <c r="E6" s="52" t="s">
        <v>370</v>
      </c>
      <c r="F6" s="87" t="e">
        <f>#REF!</f>
        <v>#REF!</v>
      </c>
      <c r="G6" s="87" t="e">
        <f>#REF!</f>
        <v>#REF!</v>
      </c>
      <c r="H6" s="88" t="e">
        <f t="shared" si="0"/>
        <v>#REF!</v>
      </c>
      <c r="I6" s="181">
        <v>222517</v>
      </c>
      <c r="J6" s="53"/>
      <c r="K6" s="53"/>
      <c r="L6" s="53"/>
      <c r="M6" s="53"/>
      <c r="N6" s="53"/>
      <c r="O6" s="47"/>
      <c r="P6" s="115">
        <v>131745</v>
      </c>
      <c r="Q6" s="47"/>
      <c r="R6" s="115">
        <v>62828</v>
      </c>
      <c r="S6" s="177">
        <v>27944</v>
      </c>
      <c r="T6" s="115">
        <v>0</v>
      </c>
      <c r="U6" s="209">
        <v>0</v>
      </c>
      <c r="V6" s="115">
        <v>0</v>
      </c>
      <c r="W6" s="53"/>
      <c r="X6" s="53"/>
      <c r="Y6" s="53"/>
      <c r="Z6" s="53"/>
      <c r="AA6" s="53"/>
      <c r="AB6" s="53"/>
      <c r="AC6" s="53"/>
      <c r="AD6" s="47"/>
      <c r="AE6" s="53"/>
      <c r="AF6" s="53"/>
      <c r="AG6" s="47"/>
      <c r="AH6" s="53">
        <f t="shared" si="2"/>
        <v>222517</v>
      </c>
      <c r="AI6" s="51"/>
      <c r="AJ6" s="55">
        <f t="shared" si="1"/>
        <v>0</v>
      </c>
    </row>
    <row r="7" spans="1:36" s="36" customFormat="1" ht="15.75" x14ac:dyDescent="0.25">
      <c r="A7" s="56" t="s">
        <v>23</v>
      </c>
      <c r="B7" s="57" t="s">
        <v>25</v>
      </c>
      <c r="C7" s="52" t="s">
        <v>368</v>
      </c>
      <c r="D7" s="52" t="s">
        <v>369</v>
      </c>
      <c r="E7" s="52" t="s">
        <v>370</v>
      </c>
      <c r="F7" s="87">
        <v>44144</v>
      </c>
      <c r="G7" s="87">
        <v>44386</v>
      </c>
      <c r="H7" s="88">
        <f t="shared" si="0"/>
        <v>8.0398671096345513</v>
      </c>
      <c r="I7" s="181">
        <v>1207684</v>
      </c>
      <c r="J7" s="53"/>
      <c r="K7" s="53"/>
      <c r="L7" s="53"/>
      <c r="M7" s="53"/>
      <c r="N7" s="53"/>
      <c r="O7" s="47"/>
      <c r="P7" s="115">
        <v>244435</v>
      </c>
      <c r="Q7" s="47"/>
      <c r="R7" s="115">
        <v>181308</v>
      </c>
      <c r="S7" s="115">
        <v>16313</v>
      </c>
      <c r="T7" s="115">
        <v>286477</v>
      </c>
      <c r="U7" s="209">
        <v>175064.87</v>
      </c>
      <c r="V7" s="115">
        <v>173559</v>
      </c>
      <c r="W7" s="54">
        <f>160000-25065</f>
        <v>134935</v>
      </c>
      <c r="X7" s="54">
        <v>9151</v>
      </c>
      <c r="Y7" s="53"/>
      <c r="Z7" s="53"/>
      <c r="AA7" s="53"/>
      <c r="AB7" s="53"/>
      <c r="AC7" s="53"/>
      <c r="AD7" s="47"/>
      <c r="AE7" s="53"/>
      <c r="AF7" s="53"/>
      <c r="AG7" s="47"/>
      <c r="AH7" s="53">
        <f t="shared" si="2"/>
        <v>1221242.8700000001</v>
      </c>
      <c r="AI7" s="51"/>
      <c r="AJ7" s="55">
        <f t="shared" si="1"/>
        <v>-13558.870000000112</v>
      </c>
    </row>
    <row r="8" spans="1:36" s="36" customFormat="1" ht="15.75" x14ac:dyDescent="0.25">
      <c r="A8" s="56" t="s">
        <v>31</v>
      </c>
      <c r="B8" s="57" t="s">
        <v>32</v>
      </c>
      <c r="C8" s="52" t="s">
        <v>368</v>
      </c>
      <c r="D8" s="52" t="s">
        <v>369</v>
      </c>
      <c r="E8" s="52" t="s">
        <v>370</v>
      </c>
      <c r="F8" s="87">
        <v>44144</v>
      </c>
      <c r="G8" s="87">
        <v>44386</v>
      </c>
      <c r="H8" s="88">
        <f t="shared" si="0"/>
        <v>8.0398671096345513</v>
      </c>
      <c r="I8" s="181">
        <v>267573</v>
      </c>
      <c r="J8" s="53"/>
      <c r="K8" s="53"/>
      <c r="L8" s="53"/>
      <c r="M8" s="53"/>
      <c r="N8" s="53"/>
      <c r="O8" s="47"/>
      <c r="P8" s="115">
        <v>46929</v>
      </c>
      <c r="Q8" s="47"/>
      <c r="R8" s="115">
        <v>38525</v>
      </c>
      <c r="S8" s="115">
        <v>0</v>
      </c>
      <c r="T8" s="115">
        <v>45735</v>
      </c>
      <c r="U8" s="209">
        <v>40858.44</v>
      </c>
      <c r="V8" s="210">
        <f>6750+26297</f>
        <v>33047</v>
      </c>
      <c r="W8" s="54">
        <v>40000</v>
      </c>
      <c r="X8" s="54">
        <v>16384</v>
      </c>
      <c r="Y8" s="53"/>
      <c r="Z8" s="53"/>
      <c r="AA8" s="53"/>
      <c r="AB8" s="53"/>
      <c r="AC8" s="53"/>
      <c r="AD8" s="47"/>
      <c r="AE8" s="53"/>
      <c r="AF8" s="53"/>
      <c r="AG8" s="47"/>
      <c r="AH8" s="53">
        <f t="shared" si="2"/>
        <v>261478.44</v>
      </c>
      <c r="AI8" s="51"/>
      <c r="AJ8" s="55">
        <f t="shared" si="1"/>
        <v>6094.5599999999977</v>
      </c>
    </row>
    <row r="9" spans="1:36" s="36" customFormat="1" ht="15.75" x14ac:dyDescent="0.25">
      <c r="A9" s="56" t="s">
        <v>33</v>
      </c>
      <c r="B9" s="57" t="s">
        <v>34</v>
      </c>
      <c r="C9" s="52" t="s">
        <v>368</v>
      </c>
      <c r="D9" s="52" t="s">
        <v>369</v>
      </c>
      <c r="E9" s="52" t="s">
        <v>370</v>
      </c>
      <c r="F9" s="87">
        <v>44144</v>
      </c>
      <c r="G9" s="87">
        <v>44386</v>
      </c>
      <c r="H9" s="88">
        <f t="shared" si="0"/>
        <v>8.0398671096345513</v>
      </c>
      <c r="I9" s="181">
        <v>230170</v>
      </c>
      <c r="J9" s="53"/>
      <c r="K9" s="53"/>
      <c r="L9" s="53"/>
      <c r="M9" s="53"/>
      <c r="N9" s="53"/>
      <c r="O9" s="47"/>
      <c r="P9" s="115">
        <v>34010</v>
      </c>
      <c r="Q9" s="47"/>
      <c r="R9" s="115">
        <v>31345</v>
      </c>
      <c r="S9" s="115">
        <v>0</v>
      </c>
      <c r="T9" s="115">
        <v>42608</v>
      </c>
      <c r="U9" s="209">
        <v>27036.87</v>
      </c>
      <c r="V9" s="210">
        <f>9333+19266</f>
        <v>28599</v>
      </c>
      <c r="W9" s="54">
        <v>35000</v>
      </c>
      <c r="X9" s="54">
        <v>2207</v>
      </c>
      <c r="Y9" s="53"/>
      <c r="Z9" s="53"/>
      <c r="AA9" s="53"/>
      <c r="AB9" s="53"/>
      <c r="AC9" s="53"/>
      <c r="AD9" s="47"/>
      <c r="AE9" s="53"/>
      <c r="AF9" s="53"/>
      <c r="AG9" s="47"/>
      <c r="AH9" s="53">
        <f t="shared" si="2"/>
        <v>200805.87</v>
      </c>
      <c r="AI9" s="51"/>
      <c r="AJ9" s="55">
        <f t="shared" si="1"/>
        <v>29364.130000000005</v>
      </c>
    </row>
    <row r="10" spans="1:36" s="36" customFormat="1" ht="15.75" x14ac:dyDescent="0.25">
      <c r="A10" s="56" t="s">
        <v>35</v>
      </c>
      <c r="B10" s="57" t="s">
        <v>36</v>
      </c>
      <c r="C10" s="52" t="s">
        <v>368</v>
      </c>
      <c r="D10" s="52" t="s">
        <v>401</v>
      </c>
      <c r="E10" s="52" t="s">
        <v>370</v>
      </c>
      <c r="F10" s="87">
        <v>44241</v>
      </c>
      <c r="G10" s="87">
        <v>44439</v>
      </c>
      <c r="H10" s="88">
        <f t="shared" si="0"/>
        <v>6.5780730897009967</v>
      </c>
      <c r="I10" s="181">
        <v>984546</v>
      </c>
      <c r="J10" s="53"/>
      <c r="K10" s="53"/>
      <c r="L10" s="53"/>
      <c r="M10" s="53"/>
      <c r="N10" s="53"/>
      <c r="O10" s="47"/>
      <c r="P10" s="115">
        <v>230830</v>
      </c>
      <c r="Q10" s="47"/>
      <c r="R10" s="115">
        <v>155142</v>
      </c>
      <c r="S10" s="115">
        <v>20934</v>
      </c>
      <c r="T10" s="115">
        <v>247073</v>
      </c>
      <c r="U10" s="209">
        <v>88548.33</v>
      </c>
      <c r="V10" s="115">
        <f>14953+98288</f>
        <v>113241</v>
      </c>
      <c r="W10" s="54">
        <v>84583</v>
      </c>
      <c r="X10" s="54">
        <v>0</v>
      </c>
      <c r="Y10" s="54">
        <v>45984</v>
      </c>
      <c r="Z10" s="53"/>
      <c r="AA10" s="53"/>
      <c r="AB10" s="53"/>
      <c r="AC10" s="53"/>
      <c r="AD10" s="47"/>
      <c r="AE10" s="53"/>
      <c r="AF10" s="53"/>
      <c r="AG10" s="47"/>
      <c r="AH10" s="53">
        <f t="shared" si="2"/>
        <v>986335.33</v>
      </c>
      <c r="AI10" s="51"/>
      <c r="AJ10" s="55">
        <f t="shared" si="1"/>
        <v>-1789.3299999999581</v>
      </c>
    </row>
    <row r="11" spans="1:36" s="36" customFormat="1" ht="15.75" x14ac:dyDescent="0.25">
      <c r="A11" s="34" t="s">
        <v>41</v>
      </c>
      <c r="B11" s="35" t="s">
        <v>42</v>
      </c>
      <c r="C11" s="52" t="s">
        <v>368</v>
      </c>
      <c r="D11" s="52" t="s">
        <v>371</v>
      </c>
      <c r="E11" s="52" t="s">
        <v>370</v>
      </c>
      <c r="F11" s="87">
        <v>44256</v>
      </c>
      <c r="G11" s="87">
        <v>44406</v>
      </c>
      <c r="H11" s="88">
        <f t="shared" si="0"/>
        <v>4.9833887043189371</v>
      </c>
      <c r="I11" s="181">
        <v>723063</v>
      </c>
      <c r="J11" s="53"/>
      <c r="K11" s="53"/>
      <c r="L11" s="53"/>
      <c r="M11" s="53"/>
      <c r="N11" s="53"/>
      <c r="O11" s="47"/>
      <c r="P11" s="115">
        <v>0</v>
      </c>
      <c r="Q11" s="47"/>
      <c r="R11" s="115">
        <v>0</v>
      </c>
      <c r="S11" s="115">
        <v>0</v>
      </c>
      <c r="T11" s="115">
        <v>79004</v>
      </c>
      <c r="U11" s="209">
        <v>201430.48</v>
      </c>
      <c r="V11" s="115">
        <f>30182+141104</f>
        <v>171286</v>
      </c>
      <c r="W11" s="54">
        <v>163063</v>
      </c>
      <c r="X11" s="54">
        <v>200996</v>
      </c>
      <c r="Y11" s="58"/>
      <c r="Z11" s="58"/>
      <c r="AA11" s="58"/>
      <c r="AB11" s="58"/>
      <c r="AC11" s="53"/>
      <c r="AD11" s="47"/>
      <c r="AE11" s="53"/>
      <c r="AF11" s="53"/>
      <c r="AG11" s="47"/>
      <c r="AH11" s="53">
        <f t="shared" si="2"/>
        <v>815779.48</v>
      </c>
      <c r="AI11" s="51"/>
      <c r="AJ11" s="218">
        <f t="shared" si="1"/>
        <v>-92716.479999999981</v>
      </c>
    </row>
    <row r="12" spans="1:36" s="36" customFormat="1" ht="15.75" x14ac:dyDescent="0.25">
      <c r="A12" s="34" t="s">
        <v>47</v>
      </c>
      <c r="B12" s="35" t="s">
        <v>48</v>
      </c>
      <c r="C12" s="52" t="s">
        <v>368</v>
      </c>
      <c r="D12" s="52" t="s">
        <v>401</v>
      </c>
      <c r="E12" s="52" t="s">
        <v>370</v>
      </c>
      <c r="F12" s="87">
        <v>44228</v>
      </c>
      <c r="G12" s="87">
        <v>44286</v>
      </c>
      <c r="H12" s="88">
        <f t="shared" si="0"/>
        <v>1.9269102990033224</v>
      </c>
      <c r="I12" s="181">
        <v>81500</v>
      </c>
      <c r="J12" s="53"/>
      <c r="K12" s="53"/>
      <c r="L12" s="53"/>
      <c r="M12" s="53"/>
      <c r="N12" s="53"/>
      <c r="O12" s="47"/>
      <c r="P12" s="115">
        <v>0</v>
      </c>
      <c r="Q12" s="47"/>
      <c r="R12" s="115">
        <v>0</v>
      </c>
      <c r="S12" s="115">
        <v>0</v>
      </c>
      <c r="T12" s="115">
        <v>81500</v>
      </c>
      <c r="U12" s="209">
        <v>0</v>
      </c>
      <c r="V12" s="115">
        <v>0</v>
      </c>
      <c r="W12" s="58">
        <v>0</v>
      </c>
      <c r="X12" s="53"/>
      <c r="Y12" s="53"/>
      <c r="Z12" s="53"/>
      <c r="AA12" s="53"/>
      <c r="AB12" s="53"/>
      <c r="AC12" s="53"/>
      <c r="AD12" s="47"/>
      <c r="AE12" s="53"/>
      <c r="AF12" s="53"/>
      <c r="AG12" s="47"/>
      <c r="AH12" s="53">
        <f>SUM(P12:AG12)</f>
        <v>81500</v>
      </c>
      <c r="AI12" s="51"/>
      <c r="AJ12" s="55">
        <f t="shared" si="1"/>
        <v>0</v>
      </c>
    </row>
    <row r="13" spans="1:36" s="36" customFormat="1" ht="15.75" x14ac:dyDescent="0.25">
      <c r="A13" s="95"/>
      <c r="B13" s="95"/>
      <c r="C13" s="91"/>
      <c r="D13" s="91"/>
      <c r="E13" s="91"/>
      <c r="F13" s="91"/>
      <c r="G13" s="91"/>
      <c r="H13" s="92"/>
      <c r="I13" s="59">
        <f>SUM(I4:I12)</f>
        <v>4866079</v>
      </c>
      <c r="J13" s="59"/>
      <c r="K13" s="59"/>
      <c r="L13" s="59"/>
      <c r="M13" s="59"/>
      <c r="N13" s="59"/>
      <c r="O13" s="47"/>
      <c r="P13" s="59">
        <f>SUM(P4:P12)</f>
        <v>1478898</v>
      </c>
      <c r="Q13" s="47"/>
      <c r="R13" s="59">
        <f t="shared" ref="R13:AC13" si="3">SUM(R4:R12)</f>
        <v>701949</v>
      </c>
      <c r="S13" s="59">
        <f t="shared" si="3"/>
        <v>118025</v>
      </c>
      <c r="T13" s="59">
        <f t="shared" si="3"/>
        <v>849002</v>
      </c>
      <c r="U13" s="59">
        <f t="shared" si="3"/>
        <v>538775.79</v>
      </c>
      <c r="V13" s="59">
        <f t="shared" si="3"/>
        <v>519732</v>
      </c>
      <c r="W13" s="59">
        <f t="shared" si="3"/>
        <v>457581</v>
      </c>
      <c r="X13" s="59">
        <f t="shared" si="3"/>
        <v>228738</v>
      </c>
      <c r="Y13" s="59">
        <f t="shared" si="3"/>
        <v>45984</v>
      </c>
      <c r="Z13" s="59">
        <f t="shared" si="3"/>
        <v>0</v>
      </c>
      <c r="AA13" s="59">
        <f t="shared" si="3"/>
        <v>0</v>
      </c>
      <c r="AB13" s="59">
        <f t="shared" si="3"/>
        <v>0</v>
      </c>
      <c r="AC13" s="59">
        <f t="shared" si="3"/>
        <v>0</v>
      </c>
      <c r="AD13" s="47"/>
      <c r="AE13" s="59">
        <f>SUM(AE4:AE12)</f>
        <v>0</v>
      </c>
      <c r="AF13" s="59">
        <f>SUM(AF4:AF12)</f>
        <v>0</v>
      </c>
      <c r="AG13" s="47"/>
      <c r="AH13" s="59">
        <f>SUM(P13:AG13)</f>
        <v>4938684.79</v>
      </c>
      <c r="AI13" s="51"/>
      <c r="AJ13" s="220">
        <f t="shared" si="1"/>
        <v>-72605.790000000037</v>
      </c>
    </row>
    <row r="14" spans="1:36" s="36" customFormat="1" ht="15.75" x14ac:dyDescent="0.25">
      <c r="A14" s="106" t="s">
        <v>52</v>
      </c>
      <c r="B14" s="107"/>
      <c r="C14" s="101" t="s">
        <v>373</v>
      </c>
      <c r="D14" s="102"/>
      <c r="E14" s="102"/>
      <c r="F14" s="102"/>
      <c r="G14" s="102"/>
      <c r="H14" s="84"/>
      <c r="I14" s="193"/>
      <c r="J14" s="103"/>
      <c r="K14" s="103"/>
      <c r="L14" s="103"/>
      <c r="M14" s="103"/>
      <c r="N14" s="103"/>
      <c r="O14" s="47"/>
      <c r="P14" s="85"/>
      <c r="Q14" s="47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47"/>
      <c r="AE14" s="103"/>
      <c r="AF14" s="103"/>
      <c r="AG14" s="47"/>
      <c r="AH14" s="85"/>
      <c r="AI14" s="51"/>
      <c r="AJ14" s="55">
        <f t="shared" si="1"/>
        <v>0</v>
      </c>
    </row>
    <row r="15" spans="1:36" s="36" customFormat="1" ht="15.75" x14ac:dyDescent="0.25">
      <c r="A15" s="60" t="s">
        <v>49</v>
      </c>
      <c r="B15" s="61" t="s">
        <v>374</v>
      </c>
      <c r="C15" s="52" t="s">
        <v>373</v>
      </c>
      <c r="D15" s="52" t="s">
        <v>375</v>
      </c>
      <c r="E15" s="52" t="s">
        <v>370</v>
      </c>
      <c r="F15" s="87">
        <v>44033</v>
      </c>
      <c r="G15" s="87">
        <v>44371</v>
      </c>
      <c r="H15" s="88">
        <f>((G15-F15)/7)/4.3</f>
        <v>11.22923588039867</v>
      </c>
      <c r="I15" s="181">
        <v>9534114</v>
      </c>
      <c r="J15" s="53">
        <v>8913792</v>
      </c>
      <c r="K15" s="53">
        <f>I15-J15</f>
        <v>620322</v>
      </c>
      <c r="L15" s="53">
        <v>8917546</v>
      </c>
      <c r="M15" s="53">
        <f>I15-L15</f>
        <v>616568</v>
      </c>
      <c r="N15" s="53">
        <f>K15-M15</f>
        <v>3754</v>
      </c>
      <c r="O15" s="47"/>
      <c r="P15" s="115">
        <v>4251267</v>
      </c>
      <c r="Q15" s="47"/>
      <c r="R15" s="115">
        <v>974630</v>
      </c>
      <c r="S15" s="115">
        <v>965506</v>
      </c>
      <c r="T15" s="115">
        <v>726926</v>
      </c>
      <c r="U15" s="115">
        <v>1007479.26</v>
      </c>
      <c r="V15" s="210">
        <v>748387</v>
      </c>
      <c r="W15" s="54">
        <v>781920</v>
      </c>
      <c r="X15" s="58"/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47"/>
      <c r="AE15" s="53"/>
      <c r="AF15" s="53"/>
      <c r="AG15" s="47"/>
      <c r="AH15" s="53">
        <f>SUM(P15:AG15)</f>
        <v>9456115.2599999998</v>
      </c>
      <c r="AI15" s="51"/>
      <c r="AJ15" s="219">
        <f t="shared" si="1"/>
        <v>77998.740000000224</v>
      </c>
    </row>
    <row r="16" spans="1:36" s="36" customFormat="1" ht="15.75" x14ac:dyDescent="0.25">
      <c r="A16" s="34" t="s">
        <v>55</v>
      </c>
      <c r="B16" s="35" t="s">
        <v>376</v>
      </c>
      <c r="C16" s="52" t="s">
        <v>373</v>
      </c>
      <c r="D16" s="52" t="s">
        <v>401</v>
      </c>
      <c r="E16" s="52" t="s">
        <v>370</v>
      </c>
      <c r="F16" s="87">
        <v>44124</v>
      </c>
      <c r="G16" s="87">
        <v>44354</v>
      </c>
      <c r="H16" s="88">
        <f>((G16-F16)/7)/4.3</f>
        <v>7.6411960132890364</v>
      </c>
      <c r="I16" s="181">
        <v>1208821</v>
      </c>
      <c r="J16" s="53">
        <v>1021270</v>
      </c>
      <c r="K16" s="53">
        <f>I16-J16</f>
        <v>187551</v>
      </c>
      <c r="L16" s="53">
        <v>945919</v>
      </c>
      <c r="M16" s="53">
        <f>I16-L16</f>
        <v>262902</v>
      </c>
      <c r="N16" s="53">
        <f>K16-M16</f>
        <v>-75351</v>
      </c>
      <c r="O16" s="47"/>
      <c r="P16" s="115">
        <v>501155</v>
      </c>
      <c r="Q16" s="47"/>
      <c r="R16" s="115">
        <v>186495</v>
      </c>
      <c r="S16" s="115">
        <v>202246</v>
      </c>
      <c r="T16" s="115">
        <v>66602</v>
      </c>
      <c r="U16" s="115">
        <v>48430.03</v>
      </c>
      <c r="V16" s="210">
        <v>7649</v>
      </c>
      <c r="W16" s="53">
        <v>56138.5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47"/>
      <c r="AE16" s="53"/>
      <c r="AF16" s="53"/>
      <c r="AG16" s="47"/>
      <c r="AH16" s="53">
        <f>SUM(P16:AG16)</f>
        <v>1068715.53</v>
      </c>
      <c r="AI16" s="51"/>
      <c r="AJ16" s="219">
        <f t="shared" si="1"/>
        <v>140105.46999999997</v>
      </c>
    </row>
    <row r="17" spans="1:36" s="36" customFormat="1" ht="15.75" x14ac:dyDescent="0.25">
      <c r="A17" s="34" t="s">
        <v>60</v>
      </c>
      <c r="B17" s="35" t="s">
        <v>377</v>
      </c>
      <c r="C17" s="52" t="s">
        <v>373</v>
      </c>
      <c r="D17" s="52" t="s">
        <v>378</v>
      </c>
      <c r="E17" s="52" t="s">
        <v>370</v>
      </c>
      <c r="F17" s="87">
        <v>44119</v>
      </c>
      <c r="G17" s="87">
        <v>44546</v>
      </c>
      <c r="H17" s="88">
        <f>((G17-F17)/7)/4.3</f>
        <v>14.186046511627907</v>
      </c>
      <c r="I17" s="181">
        <v>13107911</v>
      </c>
      <c r="J17" s="53">
        <v>12555112</v>
      </c>
      <c r="K17" s="53">
        <f>I17-J17</f>
        <v>552799</v>
      </c>
      <c r="L17" s="53">
        <v>12611053</v>
      </c>
      <c r="M17" s="53">
        <f>I17-L17</f>
        <v>496858</v>
      </c>
      <c r="N17" s="53">
        <f>K17-M17</f>
        <v>55941</v>
      </c>
      <c r="O17" s="47"/>
      <c r="P17" s="115">
        <v>802663</v>
      </c>
      <c r="Q17" s="47"/>
      <c r="R17" s="115">
        <v>1051823</v>
      </c>
      <c r="S17" s="115">
        <v>822272</v>
      </c>
      <c r="T17" s="115">
        <v>1170091</v>
      </c>
      <c r="U17" s="115">
        <v>1068761.19</v>
      </c>
      <c r="V17" s="210">
        <v>823660</v>
      </c>
      <c r="W17" s="54">
        <f>1450000+115619.5</f>
        <v>1565619.5</v>
      </c>
      <c r="X17" s="54">
        <v>1379154</v>
      </c>
      <c r="Y17" s="54">
        <v>1270563</v>
      </c>
      <c r="Z17" s="54">
        <v>843964</v>
      </c>
      <c r="AA17" s="54">
        <v>843964</v>
      </c>
      <c r="AB17" s="54">
        <v>520154</v>
      </c>
      <c r="AC17" s="54">
        <v>253263</v>
      </c>
      <c r="AD17" s="47"/>
      <c r="AE17" s="53"/>
      <c r="AF17" s="53"/>
      <c r="AG17" s="47"/>
      <c r="AH17" s="53">
        <f>SUM(P17:AG17)</f>
        <v>12415951.689999999</v>
      </c>
      <c r="AI17" s="51"/>
      <c r="AJ17" s="219">
        <f t="shared" si="1"/>
        <v>691959.31000000052</v>
      </c>
    </row>
    <row r="18" spans="1:36" s="36" customFormat="1" ht="15.75" x14ac:dyDescent="0.25">
      <c r="A18" s="93"/>
      <c r="B18" s="94"/>
      <c r="C18" s="91"/>
      <c r="D18" s="91"/>
      <c r="E18" s="91"/>
      <c r="F18" s="91"/>
      <c r="G18" s="91"/>
      <c r="H18" s="92"/>
      <c r="I18" s="59">
        <f>SUM(I15:I17)</f>
        <v>23850846</v>
      </c>
      <c r="J18" s="59"/>
      <c r="K18" s="59"/>
      <c r="L18" s="59"/>
      <c r="M18" s="59"/>
      <c r="N18" s="59"/>
      <c r="O18" s="47"/>
      <c r="P18" s="59">
        <f>SUM(P15:P17)</f>
        <v>5555085</v>
      </c>
      <c r="Q18" s="47"/>
      <c r="R18" s="59">
        <f>SUM(R15:R17)</f>
        <v>2212948</v>
      </c>
      <c r="S18" s="59">
        <f t="shared" ref="S18:AC18" si="4">SUM(S15:S17)</f>
        <v>1990024</v>
      </c>
      <c r="T18" s="59">
        <f t="shared" si="4"/>
        <v>1963619</v>
      </c>
      <c r="U18" s="59">
        <f t="shared" si="4"/>
        <v>2124670.48</v>
      </c>
      <c r="V18" s="59">
        <f t="shared" si="4"/>
        <v>1579696</v>
      </c>
      <c r="W18" s="59">
        <f t="shared" si="4"/>
        <v>2403678</v>
      </c>
      <c r="X18" s="59">
        <f t="shared" si="4"/>
        <v>1379154</v>
      </c>
      <c r="Y18" s="59">
        <f t="shared" si="4"/>
        <v>1270563</v>
      </c>
      <c r="Z18" s="59">
        <f t="shared" si="4"/>
        <v>843964</v>
      </c>
      <c r="AA18" s="59">
        <f t="shared" si="4"/>
        <v>843964</v>
      </c>
      <c r="AB18" s="59">
        <f t="shared" si="4"/>
        <v>520154</v>
      </c>
      <c r="AC18" s="59">
        <f t="shared" si="4"/>
        <v>253263</v>
      </c>
      <c r="AD18" s="47"/>
      <c r="AE18" s="59">
        <f>SUM(AE14:AE17)</f>
        <v>0</v>
      </c>
      <c r="AF18" s="59">
        <f>SUM(AF14:AF17)</f>
        <v>0</v>
      </c>
      <c r="AG18" s="47"/>
      <c r="AH18" s="53">
        <f>SUM(P18:AG18)</f>
        <v>22940782.48</v>
      </c>
      <c r="AI18" s="51"/>
      <c r="AJ18" s="217">
        <f t="shared" si="1"/>
        <v>910063.51999999955</v>
      </c>
    </row>
    <row r="19" spans="1:36" s="36" customFormat="1" ht="15.75" x14ac:dyDescent="0.25">
      <c r="A19" s="106" t="s">
        <v>484</v>
      </c>
      <c r="B19" s="107"/>
      <c r="C19" s="101" t="s">
        <v>373</v>
      </c>
      <c r="D19" s="102"/>
      <c r="E19" s="102"/>
      <c r="F19" s="102"/>
      <c r="G19" s="102"/>
      <c r="H19" s="84"/>
      <c r="I19" s="193"/>
      <c r="J19" s="103"/>
      <c r="K19" s="103"/>
      <c r="L19" s="103"/>
      <c r="M19" s="103"/>
      <c r="N19" s="103"/>
      <c r="O19" s="47"/>
      <c r="P19" s="85"/>
      <c r="Q19" s="47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47"/>
      <c r="AE19" s="103"/>
      <c r="AF19" s="103"/>
      <c r="AG19" s="47"/>
      <c r="AH19" s="85"/>
      <c r="AI19" s="51"/>
      <c r="AJ19" s="55"/>
    </row>
    <row r="20" spans="1:36" s="36" customFormat="1" ht="15.75" x14ac:dyDescent="0.25">
      <c r="A20" s="34" t="s">
        <v>166</v>
      </c>
      <c r="B20" s="35" t="s">
        <v>168</v>
      </c>
      <c r="C20" s="52" t="s">
        <v>45</v>
      </c>
      <c r="D20" s="52" t="s">
        <v>371</v>
      </c>
      <c r="E20" s="52" t="s">
        <v>320</v>
      </c>
      <c r="F20" s="87" t="e">
        <f>#REF!</f>
        <v>#REF!</v>
      </c>
      <c r="G20" s="87">
        <v>44508</v>
      </c>
      <c r="H20" s="88" t="e">
        <f t="shared" ref="H20:H25" si="5">((G20-F20)/7)/4.3</f>
        <v>#REF!</v>
      </c>
      <c r="I20" s="58">
        <v>1000000</v>
      </c>
      <c r="J20" s="53"/>
      <c r="K20" s="53"/>
      <c r="L20" s="53"/>
      <c r="M20" s="53"/>
      <c r="N20" s="53"/>
      <c r="O20" s="47"/>
      <c r="P20" s="115"/>
      <c r="Q20" s="47"/>
      <c r="R20" s="115"/>
      <c r="S20" s="115"/>
      <c r="T20" s="115">
        <v>0</v>
      </c>
      <c r="U20" s="115">
        <v>0</v>
      </c>
      <c r="V20" s="115">
        <v>154842</v>
      </c>
      <c r="W20" s="54">
        <f>1000000/8</f>
        <v>125000</v>
      </c>
      <c r="X20" s="54">
        <f>1000000/8</f>
        <v>125000</v>
      </c>
      <c r="Y20" s="54">
        <f>1000000/8</f>
        <v>125000</v>
      </c>
      <c r="Z20" s="54">
        <f>1000000/8</f>
        <v>125000</v>
      </c>
      <c r="AA20" s="54">
        <f>1000000/8</f>
        <v>125000</v>
      </c>
      <c r="AB20" s="54">
        <v>75000</v>
      </c>
      <c r="AC20" s="54">
        <v>75000</v>
      </c>
      <c r="AD20" s="47"/>
      <c r="AE20" s="53"/>
      <c r="AF20" s="53"/>
      <c r="AG20" s="47"/>
      <c r="AH20" s="53">
        <f t="shared" ref="AH20:AH26" si="6">SUM(P20:AG20)</f>
        <v>929842</v>
      </c>
      <c r="AI20" s="51"/>
      <c r="AJ20" s="55">
        <f>I20-AH20</f>
        <v>70158</v>
      </c>
    </row>
    <row r="21" spans="1:36" s="36" customFormat="1" ht="15.75" x14ac:dyDescent="0.25">
      <c r="A21" s="111" t="s">
        <v>174</v>
      </c>
      <c r="B21" s="112" t="s">
        <v>175</v>
      </c>
      <c r="C21" s="52" t="s">
        <v>45</v>
      </c>
      <c r="D21" s="52" t="s">
        <v>371</v>
      </c>
      <c r="E21" s="52" t="s">
        <v>320</v>
      </c>
      <c r="F21" s="52">
        <v>44317</v>
      </c>
      <c r="G21" s="52">
        <v>44497</v>
      </c>
      <c r="H21" s="50">
        <f t="shared" si="5"/>
        <v>5.9800664451827243</v>
      </c>
      <c r="I21" s="53">
        <v>900000</v>
      </c>
      <c r="J21" s="53"/>
      <c r="K21" s="53"/>
      <c r="L21" s="53"/>
      <c r="M21" s="53"/>
      <c r="N21" s="53"/>
      <c r="O21" s="47"/>
      <c r="P21" s="115"/>
      <c r="Q21" s="47"/>
      <c r="R21" s="115"/>
      <c r="S21" s="115"/>
      <c r="T21" s="115"/>
      <c r="U21" s="115">
        <v>0</v>
      </c>
      <c r="V21" s="115">
        <v>0</v>
      </c>
      <c r="W21" s="54">
        <v>75000</v>
      </c>
      <c r="X21" s="54">
        <v>125000</v>
      </c>
      <c r="Y21" s="54">
        <v>125000</v>
      </c>
      <c r="Z21" s="54">
        <v>150000</v>
      </c>
      <c r="AA21" s="54">
        <v>150000</v>
      </c>
      <c r="AB21" s="54">
        <v>150000</v>
      </c>
      <c r="AC21" s="54">
        <v>125000</v>
      </c>
      <c r="AD21" s="47"/>
      <c r="AE21" s="58"/>
      <c r="AF21" s="53"/>
      <c r="AG21" s="47"/>
      <c r="AH21" s="53">
        <f t="shared" si="6"/>
        <v>900000</v>
      </c>
      <c r="AI21" s="51"/>
      <c r="AJ21" s="55">
        <f>I21-AH21</f>
        <v>0</v>
      </c>
    </row>
    <row r="22" spans="1:36" s="36" customFormat="1" ht="15.75" x14ac:dyDescent="0.25">
      <c r="A22" s="113" t="s">
        <v>176</v>
      </c>
      <c r="B22" s="114" t="s">
        <v>177</v>
      </c>
      <c r="C22" s="52" t="s">
        <v>45</v>
      </c>
      <c r="D22" s="52" t="s">
        <v>371</v>
      </c>
      <c r="E22" s="52" t="s">
        <v>320</v>
      </c>
      <c r="F22" s="52">
        <v>44331</v>
      </c>
      <c r="G22" s="52">
        <v>44511</v>
      </c>
      <c r="H22" s="50">
        <f t="shared" si="5"/>
        <v>5.9800664451827243</v>
      </c>
      <c r="I22" s="53">
        <v>175000</v>
      </c>
      <c r="J22" s="53"/>
      <c r="K22" s="53"/>
      <c r="L22" s="53"/>
      <c r="M22" s="53"/>
      <c r="N22" s="53"/>
      <c r="O22" s="47"/>
      <c r="P22" s="115"/>
      <c r="Q22" s="47"/>
      <c r="R22" s="115"/>
      <c r="S22" s="115"/>
      <c r="T22" s="115"/>
      <c r="U22" s="115">
        <v>0</v>
      </c>
      <c r="V22" s="210">
        <v>0</v>
      </c>
      <c r="W22" s="54">
        <f t="shared" ref="W22:AB22" si="7">200000/8</f>
        <v>25000</v>
      </c>
      <c r="X22" s="54">
        <f t="shared" si="7"/>
        <v>25000</v>
      </c>
      <c r="Y22" s="54">
        <f t="shared" si="7"/>
        <v>25000</v>
      </c>
      <c r="Z22" s="54">
        <f t="shared" si="7"/>
        <v>25000</v>
      </c>
      <c r="AA22" s="54">
        <f t="shared" si="7"/>
        <v>25000</v>
      </c>
      <c r="AB22" s="54">
        <f t="shared" si="7"/>
        <v>25000</v>
      </c>
      <c r="AC22" s="58"/>
      <c r="AD22" s="47"/>
      <c r="AE22" s="58"/>
      <c r="AF22" s="53"/>
      <c r="AG22" s="47"/>
      <c r="AH22" s="53">
        <f t="shared" si="6"/>
        <v>150000</v>
      </c>
      <c r="AI22" s="51"/>
      <c r="AJ22" s="55">
        <f>I22-AH22</f>
        <v>25000</v>
      </c>
    </row>
    <row r="23" spans="1:36" s="36" customFormat="1" ht="15.75" x14ac:dyDescent="0.25">
      <c r="A23" s="179" t="s">
        <v>178</v>
      </c>
      <c r="B23" s="180" t="s">
        <v>179</v>
      </c>
      <c r="C23" s="52" t="s">
        <v>45</v>
      </c>
      <c r="D23" s="52" t="s">
        <v>371</v>
      </c>
      <c r="E23" s="52" t="s">
        <v>320</v>
      </c>
      <c r="F23" s="52">
        <v>44331</v>
      </c>
      <c r="G23" s="52">
        <v>44511</v>
      </c>
      <c r="H23" s="50">
        <f t="shared" si="5"/>
        <v>5.9800664451827243</v>
      </c>
      <c r="I23" s="86" t="s">
        <v>165</v>
      </c>
      <c r="J23" s="53"/>
      <c r="K23" s="53"/>
      <c r="L23" s="53"/>
      <c r="M23" s="53"/>
      <c r="N23" s="53"/>
      <c r="O23" s="47"/>
      <c r="P23" s="115"/>
      <c r="Q23" s="47"/>
      <c r="R23" s="115"/>
      <c r="S23" s="115"/>
      <c r="T23" s="115"/>
      <c r="U23" s="53"/>
      <c r="V23" s="58"/>
      <c r="W23" s="58"/>
      <c r="X23" s="58"/>
      <c r="Y23" s="58"/>
      <c r="Z23" s="58"/>
      <c r="AA23" s="58"/>
      <c r="AB23" s="54"/>
      <c r="AC23" s="54"/>
      <c r="AD23" s="47"/>
      <c r="AE23" s="58"/>
      <c r="AF23" s="53"/>
      <c r="AG23" s="47"/>
      <c r="AH23" s="53">
        <f t="shared" si="6"/>
        <v>0</v>
      </c>
      <c r="AI23" s="51"/>
      <c r="AJ23" s="124" t="s">
        <v>165</v>
      </c>
    </row>
    <row r="24" spans="1:36" s="36" customFormat="1" ht="15.75" x14ac:dyDescent="0.25">
      <c r="A24" s="34" t="s">
        <v>199</v>
      </c>
      <c r="B24" s="35" t="s">
        <v>518</v>
      </c>
      <c r="C24" s="52" t="s">
        <v>45</v>
      </c>
      <c r="D24" s="52" t="s">
        <v>45</v>
      </c>
      <c r="E24" s="52" t="s">
        <v>320</v>
      </c>
      <c r="F24" s="52">
        <f>'Sheet 2'!T23</f>
        <v>44417</v>
      </c>
      <c r="G24" s="52">
        <f>'Sheet 2'!U23</f>
        <v>44657.8</v>
      </c>
      <c r="H24" s="50">
        <f t="shared" si="5"/>
        <v>8.0000000000000977</v>
      </c>
      <c r="I24" s="53">
        <v>150000</v>
      </c>
      <c r="J24" s="53"/>
      <c r="K24" s="53"/>
      <c r="L24" s="53"/>
      <c r="M24" s="53"/>
      <c r="N24" s="53"/>
      <c r="O24" s="47"/>
      <c r="P24" s="115"/>
      <c r="Q24" s="47"/>
      <c r="R24" s="115"/>
      <c r="S24" s="115"/>
      <c r="T24" s="115"/>
      <c r="U24" s="58"/>
      <c r="V24" s="58"/>
      <c r="W24" s="58"/>
      <c r="X24" s="53"/>
      <c r="Y24" s="53"/>
      <c r="Z24" s="53"/>
      <c r="AA24" s="53"/>
      <c r="AB24" s="53"/>
      <c r="AC24" s="53"/>
      <c r="AD24" s="47"/>
      <c r="AE24" s="54">
        <v>150000</v>
      </c>
      <c r="AF24" s="53"/>
      <c r="AG24" s="47"/>
      <c r="AH24" s="53">
        <f t="shared" si="6"/>
        <v>150000</v>
      </c>
      <c r="AI24" s="51"/>
      <c r="AJ24" s="55">
        <f>I24-AH24</f>
        <v>0</v>
      </c>
    </row>
    <row r="25" spans="1:36" s="36" customFormat="1" ht="15.75" x14ac:dyDescent="0.25">
      <c r="A25" s="34" t="s">
        <v>201</v>
      </c>
      <c r="B25" s="35" t="s">
        <v>519</v>
      </c>
      <c r="C25" s="52" t="s">
        <v>45</v>
      </c>
      <c r="D25" s="52" t="s">
        <v>45</v>
      </c>
      <c r="E25" s="52" t="s">
        <v>370</v>
      </c>
      <c r="F25" s="52"/>
      <c r="G25" s="52"/>
      <c r="H25" s="50">
        <f t="shared" si="5"/>
        <v>0</v>
      </c>
      <c r="I25" s="53">
        <v>100000</v>
      </c>
      <c r="J25" s="53"/>
      <c r="K25" s="53"/>
      <c r="L25" s="53"/>
      <c r="M25" s="53"/>
      <c r="N25" s="53"/>
      <c r="O25" s="47"/>
      <c r="P25" s="115"/>
      <c r="Q25" s="47"/>
      <c r="R25" s="115"/>
      <c r="S25" s="115"/>
      <c r="T25" s="115"/>
      <c r="U25" s="58"/>
      <c r="V25" s="54">
        <v>50000</v>
      </c>
      <c r="W25" s="54">
        <v>50000</v>
      </c>
      <c r="X25" s="53"/>
      <c r="Y25" s="53"/>
      <c r="Z25" s="53"/>
      <c r="AA25" s="53"/>
      <c r="AB25" s="53"/>
      <c r="AC25" s="53"/>
      <c r="AD25" s="47"/>
      <c r="AE25" s="58"/>
      <c r="AF25" s="53"/>
      <c r="AG25" s="47"/>
      <c r="AH25" s="53">
        <f t="shared" si="6"/>
        <v>100000</v>
      </c>
      <c r="AI25" s="51"/>
      <c r="AJ25" s="55">
        <f>I25-AH25</f>
        <v>0</v>
      </c>
    </row>
    <row r="26" spans="1:36" s="36" customFormat="1" ht="15.75" x14ac:dyDescent="0.25">
      <c r="A26" s="93"/>
      <c r="B26" s="94"/>
      <c r="C26" s="91"/>
      <c r="D26" s="91"/>
      <c r="E26" s="91"/>
      <c r="F26" s="91"/>
      <c r="G26" s="91"/>
      <c r="H26" s="92"/>
      <c r="I26" s="59">
        <f>SUM(I20:N25)</f>
        <v>2325000</v>
      </c>
      <c r="J26" s="59"/>
      <c r="K26" s="59"/>
      <c r="L26" s="59"/>
      <c r="M26" s="59"/>
      <c r="N26" s="59"/>
      <c r="O26" s="47"/>
      <c r="P26" s="59">
        <f>SUM(P20:P25)</f>
        <v>0</v>
      </c>
      <c r="Q26" s="47"/>
      <c r="R26" s="59">
        <f>SUM(R20:R25)</f>
        <v>0</v>
      </c>
      <c r="S26" s="59">
        <f t="shared" ref="S26:AF26" si="8">SUM(S20:S25)</f>
        <v>0</v>
      </c>
      <c r="T26" s="59">
        <f t="shared" si="8"/>
        <v>0</v>
      </c>
      <c r="U26" s="59">
        <f t="shared" si="8"/>
        <v>0</v>
      </c>
      <c r="V26" s="59">
        <f t="shared" si="8"/>
        <v>204842</v>
      </c>
      <c r="W26" s="59">
        <f>SUM(W20:W25)</f>
        <v>275000</v>
      </c>
      <c r="X26" s="59">
        <f t="shared" si="8"/>
        <v>275000</v>
      </c>
      <c r="Y26" s="59">
        <f t="shared" si="8"/>
        <v>275000</v>
      </c>
      <c r="Z26" s="59">
        <f t="shared" si="8"/>
        <v>300000</v>
      </c>
      <c r="AA26" s="59">
        <f t="shared" si="8"/>
        <v>300000</v>
      </c>
      <c r="AB26" s="59">
        <f t="shared" si="8"/>
        <v>250000</v>
      </c>
      <c r="AC26" s="59">
        <f t="shared" si="8"/>
        <v>200000</v>
      </c>
      <c r="AD26" s="47"/>
      <c r="AE26" s="59">
        <f t="shared" si="8"/>
        <v>150000</v>
      </c>
      <c r="AF26" s="59">
        <f t="shared" si="8"/>
        <v>0</v>
      </c>
      <c r="AG26" s="47"/>
      <c r="AH26" s="53">
        <f t="shared" si="6"/>
        <v>2229842</v>
      </c>
      <c r="AI26" s="51"/>
      <c r="AJ26" s="55">
        <f>I26-AH26</f>
        <v>95158</v>
      </c>
    </row>
    <row r="27" spans="1:36" s="36" customFormat="1" ht="15.75" x14ac:dyDescent="0.25">
      <c r="A27" s="106" t="s">
        <v>379</v>
      </c>
      <c r="B27" s="107"/>
      <c r="C27" s="101" t="s">
        <v>380</v>
      </c>
      <c r="D27" s="102"/>
      <c r="E27" s="102"/>
      <c r="F27" s="102"/>
      <c r="G27" s="102"/>
      <c r="H27" s="84"/>
      <c r="I27" s="193"/>
      <c r="J27" s="103"/>
      <c r="K27" s="103"/>
      <c r="L27" s="103"/>
      <c r="M27" s="103"/>
      <c r="N27" s="103"/>
      <c r="O27" s="47"/>
      <c r="P27" s="85"/>
      <c r="Q27" s="47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47"/>
      <c r="AE27" s="103"/>
      <c r="AF27" s="103"/>
      <c r="AG27" s="47"/>
      <c r="AH27" s="85"/>
      <c r="AI27" s="51"/>
      <c r="AJ27" s="55"/>
    </row>
    <row r="28" spans="1:36" s="36" customFormat="1" ht="15.75" x14ac:dyDescent="0.25">
      <c r="A28" s="60" t="s">
        <v>269</v>
      </c>
      <c r="B28" s="61" t="s">
        <v>270</v>
      </c>
      <c r="C28" s="52" t="s">
        <v>380</v>
      </c>
      <c r="D28" s="52" t="s">
        <v>381</v>
      </c>
      <c r="E28" s="52" t="s">
        <v>370</v>
      </c>
      <c r="F28" s="52" t="e">
        <f>#REF!</f>
        <v>#REF!</v>
      </c>
      <c r="G28" s="52" t="e">
        <f>#REF!</f>
        <v>#REF!</v>
      </c>
      <c r="H28" s="50" t="e">
        <f t="shared" ref="H28:H38" si="9">((G28-F28)/7)/4.3</f>
        <v>#REF!</v>
      </c>
      <c r="I28" s="182">
        <v>890454</v>
      </c>
      <c r="J28" s="53"/>
      <c r="K28" s="53"/>
      <c r="L28" s="53"/>
      <c r="M28" s="53"/>
      <c r="N28" s="53"/>
      <c r="O28" s="47"/>
      <c r="P28" s="115">
        <v>890454</v>
      </c>
      <c r="Q28" s="47"/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53"/>
      <c r="X28" s="53"/>
      <c r="Y28" s="53"/>
      <c r="Z28" s="53"/>
      <c r="AA28" s="53"/>
      <c r="AB28" s="53"/>
      <c r="AC28" s="53"/>
      <c r="AD28" s="47"/>
      <c r="AE28" s="53"/>
      <c r="AF28" s="53"/>
      <c r="AG28" s="47"/>
      <c r="AH28" s="53">
        <f>SUM(P28:AG28)</f>
        <v>890454</v>
      </c>
      <c r="AI28" s="51"/>
      <c r="AJ28" s="55">
        <f t="shared" ref="AJ28:AJ42" si="10">I28-AH28</f>
        <v>0</v>
      </c>
    </row>
    <row r="29" spans="1:36" s="36" customFormat="1" ht="15.75" x14ac:dyDescent="0.25">
      <c r="A29" s="60" t="s">
        <v>65</v>
      </c>
      <c r="B29" s="61" t="s">
        <v>66</v>
      </c>
      <c r="C29" s="52" t="s">
        <v>380</v>
      </c>
      <c r="D29" s="52" t="s">
        <v>381</v>
      </c>
      <c r="E29" s="52" t="s">
        <v>370</v>
      </c>
      <c r="F29" s="52">
        <v>44004</v>
      </c>
      <c r="G29" s="87">
        <v>44301</v>
      </c>
      <c r="H29" s="50">
        <f t="shared" si="9"/>
        <v>9.867109634551495</v>
      </c>
      <c r="I29" s="182">
        <v>2499778</v>
      </c>
      <c r="J29" s="53"/>
      <c r="K29" s="53"/>
      <c r="L29" s="53"/>
      <c r="M29" s="53"/>
      <c r="N29" s="53"/>
      <c r="O29" s="47"/>
      <c r="P29" s="115">
        <v>1697608</v>
      </c>
      <c r="Q29" s="47"/>
      <c r="R29" s="115">
        <v>93223</v>
      </c>
      <c r="S29" s="115">
        <v>0</v>
      </c>
      <c r="T29" s="115">
        <v>247214</v>
      </c>
      <c r="U29" s="115">
        <f>164452+38564</f>
        <v>203016</v>
      </c>
      <c r="V29" s="210">
        <v>0</v>
      </c>
      <c r="W29" s="53"/>
      <c r="X29" s="53"/>
      <c r="Y29" s="53"/>
      <c r="Z29" s="53"/>
      <c r="AA29" s="53"/>
      <c r="AB29" s="53"/>
      <c r="AC29" s="53"/>
      <c r="AD29" s="47"/>
      <c r="AE29" s="53"/>
      <c r="AF29" s="53"/>
      <c r="AG29" s="47"/>
      <c r="AH29" s="53">
        <f>SUM(P29:AG29)</f>
        <v>2241061</v>
      </c>
      <c r="AI29" s="51"/>
      <c r="AJ29" s="219">
        <f t="shared" si="10"/>
        <v>258717</v>
      </c>
    </row>
    <row r="30" spans="1:36" s="36" customFormat="1" ht="15.75" x14ac:dyDescent="0.25">
      <c r="A30" s="34" t="s">
        <v>71</v>
      </c>
      <c r="B30" s="35" t="s">
        <v>72</v>
      </c>
      <c r="C30" s="52" t="s">
        <v>380</v>
      </c>
      <c r="D30" s="52" t="s">
        <v>381</v>
      </c>
      <c r="E30" s="52" t="s">
        <v>320</v>
      </c>
      <c r="F30" s="52">
        <v>44317</v>
      </c>
      <c r="G30" s="52">
        <v>44407</v>
      </c>
      <c r="H30" s="50">
        <f t="shared" si="9"/>
        <v>2.9900332225913622</v>
      </c>
      <c r="I30" s="53">
        <v>177819</v>
      </c>
      <c r="J30" s="53"/>
      <c r="K30" s="53"/>
      <c r="L30" s="53"/>
      <c r="M30" s="53"/>
      <c r="N30" s="53"/>
      <c r="O30" s="47"/>
      <c r="P30" s="115">
        <v>0</v>
      </c>
      <c r="Q30" s="47"/>
      <c r="R30" s="115">
        <v>0</v>
      </c>
      <c r="S30" s="115">
        <v>0</v>
      </c>
      <c r="T30" s="115">
        <v>0</v>
      </c>
      <c r="U30" s="115">
        <v>0</v>
      </c>
      <c r="V30" s="210">
        <v>0</v>
      </c>
      <c r="W30" s="54">
        <f>27819+37500</f>
        <v>65319</v>
      </c>
      <c r="X30" s="53"/>
      <c r="Y30" s="53"/>
      <c r="Z30" s="53"/>
      <c r="AA30" s="53"/>
      <c r="AB30" s="53"/>
      <c r="AC30" s="53"/>
      <c r="AD30" s="47"/>
      <c r="AE30" s="53"/>
      <c r="AF30" s="53"/>
      <c r="AG30" s="47"/>
      <c r="AH30" s="53">
        <f>SUM(P30:AG30)</f>
        <v>65319</v>
      </c>
      <c r="AI30" s="51"/>
      <c r="AJ30" s="219">
        <f t="shared" si="10"/>
        <v>112500</v>
      </c>
    </row>
    <row r="31" spans="1:36" s="36" customFormat="1" ht="15.75" x14ac:dyDescent="0.25">
      <c r="A31" s="34" t="s">
        <v>74</v>
      </c>
      <c r="B31" s="35" t="s">
        <v>76</v>
      </c>
      <c r="C31" s="52" t="s">
        <v>380</v>
      </c>
      <c r="D31" s="52" t="s">
        <v>381</v>
      </c>
      <c r="E31" s="52" t="s">
        <v>320</v>
      </c>
      <c r="F31" s="87">
        <v>44317</v>
      </c>
      <c r="G31" s="87">
        <v>44437</v>
      </c>
      <c r="H31" s="50">
        <f t="shared" si="9"/>
        <v>3.9867109634551494</v>
      </c>
      <c r="I31" s="182">
        <v>700000</v>
      </c>
      <c r="J31" s="53"/>
      <c r="K31" s="53"/>
      <c r="L31" s="53"/>
      <c r="M31" s="53"/>
      <c r="N31" s="53"/>
      <c r="O31" s="47"/>
      <c r="P31" s="115">
        <v>0</v>
      </c>
      <c r="Q31" s="47"/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54">
        <f>150000+107500</f>
        <v>257500</v>
      </c>
      <c r="X31" s="54">
        <f>150000+107500</f>
        <v>257500</v>
      </c>
      <c r="Y31" s="54">
        <v>125000</v>
      </c>
      <c r="Z31" s="54">
        <v>60000</v>
      </c>
      <c r="AA31" s="53"/>
      <c r="AB31" s="53"/>
      <c r="AC31" s="53"/>
      <c r="AD31" s="47"/>
      <c r="AE31" s="53"/>
      <c r="AF31" s="53"/>
      <c r="AG31" s="47"/>
      <c r="AH31" s="53">
        <f>SUM(P31:AG31)</f>
        <v>700000</v>
      </c>
      <c r="AI31" s="51"/>
      <c r="AJ31" s="55">
        <f t="shared" si="10"/>
        <v>0</v>
      </c>
    </row>
    <row r="32" spans="1:36" s="36" customFormat="1" ht="15.75" x14ac:dyDescent="0.25">
      <c r="A32" s="34" t="s">
        <v>78</v>
      </c>
      <c r="B32" s="35" t="s">
        <v>417</v>
      </c>
      <c r="C32" s="52" t="s">
        <v>380</v>
      </c>
      <c r="D32" s="52" t="s">
        <v>381</v>
      </c>
      <c r="E32" s="52" t="s">
        <v>320</v>
      </c>
      <c r="F32" s="87">
        <v>44348</v>
      </c>
      <c r="G32" s="87">
        <v>44528</v>
      </c>
      <c r="H32" s="50">
        <f t="shared" si="9"/>
        <v>5.9800664451827243</v>
      </c>
      <c r="I32" s="182">
        <v>469659</v>
      </c>
      <c r="J32" s="53"/>
      <c r="K32" s="53"/>
      <c r="L32" s="53"/>
      <c r="M32" s="53"/>
      <c r="N32" s="53"/>
      <c r="O32" s="47"/>
      <c r="P32" s="115">
        <v>32120</v>
      </c>
      <c r="Q32" s="47"/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54">
        <v>50000</v>
      </c>
      <c r="X32" s="54">
        <v>75000</v>
      </c>
      <c r="Y32" s="54">
        <v>80000</v>
      </c>
      <c r="Z32" s="54">
        <v>80000</v>
      </c>
      <c r="AA32" s="54">
        <v>75000</v>
      </c>
      <c r="AB32" s="54">
        <v>77539</v>
      </c>
      <c r="AC32" s="53"/>
      <c r="AD32" s="47"/>
      <c r="AE32" s="53"/>
      <c r="AF32" s="53"/>
      <c r="AG32" s="47"/>
      <c r="AH32" s="53">
        <f t="shared" ref="AH32:AH42" si="11">SUM(P32:AG32)</f>
        <v>469659</v>
      </c>
      <c r="AI32" s="51"/>
      <c r="AJ32" s="55">
        <f t="shared" si="10"/>
        <v>0</v>
      </c>
    </row>
    <row r="33" spans="1:36" s="36" customFormat="1" ht="15.75" x14ac:dyDescent="0.25">
      <c r="A33" s="34" t="s">
        <v>82</v>
      </c>
      <c r="B33" s="35" t="s">
        <v>83</v>
      </c>
      <c r="C33" s="52" t="s">
        <v>380</v>
      </c>
      <c r="D33" s="52" t="s">
        <v>381</v>
      </c>
      <c r="E33" s="52" t="s">
        <v>370</v>
      </c>
      <c r="F33" s="52">
        <v>44317</v>
      </c>
      <c r="G33" s="52">
        <v>44497</v>
      </c>
      <c r="H33" s="50">
        <f>((G33-F33)/7)/4.3</f>
        <v>5.9800664451827243</v>
      </c>
      <c r="I33" s="182">
        <v>446790</v>
      </c>
      <c r="J33" s="53"/>
      <c r="K33" s="53"/>
      <c r="L33" s="53"/>
      <c r="M33" s="53"/>
      <c r="N33" s="53"/>
      <c r="O33" s="47"/>
      <c r="P33" s="115">
        <v>0</v>
      </c>
      <c r="Q33" s="47"/>
      <c r="R33" s="115">
        <v>0</v>
      </c>
      <c r="S33" s="115">
        <v>0</v>
      </c>
      <c r="T33" s="115">
        <v>0</v>
      </c>
      <c r="U33" s="115">
        <v>0</v>
      </c>
      <c r="V33" s="115">
        <v>33274</v>
      </c>
      <c r="W33" s="54">
        <v>25000</v>
      </c>
      <c r="X33" s="54">
        <v>75000</v>
      </c>
      <c r="Y33" s="54">
        <v>100000</v>
      </c>
      <c r="Z33" s="54">
        <v>100000</v>
      </c>
      <c r="AA33" s="54">
        <v>100000</v>
      </c>
      <c r="AB33" s="54">
        <v>46790</v>
      </c>
      <c r="AC33" s="53"/>
      <c r="AD33" s="47"/>
      <c r="AE33" s="53"/>
      <c r="AF33" s="53"/>
      <c r="AG33" s="47"/>
      <c r="AH33" s="53">
        <f>SUM(P33:AG33)</f>
        <v>480064</v>
      </c>
      <c r="AI33" s="51"/>
      <c r="AJ33" s="55">
        <f t="shared" si="10"/>
        <v>-33274</v>
      </c>
    </row>
    <row r="34" spans="1:36" s="36" customFormat="1" ht="15.75" x14ac:dyDescent="0.25">
      <c r="A34" s="34" t="s">
        <v>84</v>
      </c>
      <c r="B34" s="35" t="s">
        <v>85</v>
      </c>
      <c r="C34" s="52" t="s">
        <v>380</v>
      </c>
      <c r="D34" s="52" t="s">
        <v>381</v>
      </c>
      <c r="E34" s="52" t="s">
        <v>320</v>
      </c>
      <c r="F34" s="52">
        <v>44317</v>
      </c>
      <c r="G34" s="52">
        <v>44497</v>
      </c>
      <c r="H34" s="50">
        <f>((G34-F34)/7)/4.3</f>
        <v>5.9800664451827243</v>
      </c>
      <c r="I34" s="182">
        <v>577801</v>
      </c>
      <c r="J34" s="53"/>
      <c r="K34" s="53"/>
      <c r="L34" s="53"/>
      <c r="M34" s="53"/>
      <c r="N34" s="53"/>
      <c r="O34" s="47"/>
      <c r="P34" s="115">
        <v>0</v>
      </c>
      <c r="Q34" s="47"/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54">
        <v>75000</v>
      </c>
      <c r="X34" s="54">
        <v>100000</v>
      </c>
      <c r="Y34" s="54">
        <v>125000</v>
      </c>
      <c r="Z34" s="54">
        <v>125000</v>
      </c>
      <c r="AA34" s="54">
        <v>100000</v>
      </c>
      <c r="AB34" s="54">
        <v>52801</v>
      </c>
      <c r="AC34" s="53"/>
      <c r="AD34" s="47"/>
      <c r="AE34" s="53"/>
      <c r="AF34" s="53"/>
      <c r="AG34" s="47"/>
      <c r="AH34" s="53">
        <f>SUM(P34:AG34)</f>
        <v>577801</v>
      </c>
      <c r="AI34" s="51"/>
      <c r="AJ34" s="55">
        <f t="shared" si="10"/>
        <v>0</v>
      </c>
    </row>
    <row r="35" spans="1:36" s="36" customFormat="1" ht="15.75" x14ac:dyDescent="0.25">
      <c r="A35" s="34" t="s">
        <v>383</v>
      </c>
      <c r="B35" s="35" t="s">
        <v>384</v>
      </c>
      <c r="C35" s="52" t="s">
        <v>380</v>
      </c>
      <c r="D35" s="52" t="s">
        <v>381</v>
      </c>
      <c r="E35" s="52" t="s">
        <v>370</v>
      </c>
      <c r="F35" s="87">
        <v>44290</v>
      </c>
      <c r="G35" s="87">
        <v>44392</v>
      </c>
      <c r="H35" s="50">
        <f t="shared" si="9"/>
        <v>3.3887043189368771</v>
      </c>
      <c r="I35" s="182">
        <v>683158</v>
      </c>
      <c r="J35" s="53"/>
      <c r="K35" s="53"/>
      <c r="L35" s="53"/>
      <c r="M35" s="53"/>
      <c r="N35" s="53"/>
      <c r="O35" s="47"/>
      <c r="P35" s="115">
        <v>65749</v>
      </c>
      <c r="Q35" s="47"/>
      <c r="R35" s="115">
        <v>0</v>
      </c>
      <c r="S35" s="115">
        <v>0</v>
      </c>
      <c r="T35" s="115">
        <v>72518</v>
      </c>
      <c r="U35" s="115">
        <v>31181.82</v>
      </c>
      <c r="V35" s="210">
        <v>36101</v>
      </c>
      <c r="W35" s="54">
        <f>85000+26909</f>
        <v>111909</v>
      </c>
      <c r="X35" s="54">
        <v>69891</v>
      </c>
      <c r="Y35" s="54">
        <v>85000</v>
      </c>
      <c r="Z35" s="54">
        <v>85000</v>
      </c>
      <c r="AA35" s="54">
        <v>50000</v>
      </c>
      <c r="AB35" s="54">
        <v>0</v>
      </c>
      <c r="AC35" s="53"/>
      <c r="AD35" s="47"/>
      <c r="AE35" s="53"/>
      <c r="AF35" s="53"/>
      <c r="AG35" s="47"/>
      <c r="AH35" s="53">
        <f t="shared" si="11"/>
        <v>607349.82000000007</v>
      </c>
      <c r="AI35" s="51"/>
      <c r="AJ35" s="219">
        <f t="shared" si="10"/>
        <v>75808.179999999935</v>
      </c>
    </row>
    <row r="36" spans="1:36" s="36" customFormat="1" ht="15.75" x14ac:dyDescent="0.25">
      <c r="A36" s="34" t="s">
        <v>92</v>
      </c>
      <c r="B36" s="35" t="s">
        <v>93</v>
      </c>
      <c r="C36" s="52" t="s">
        <v>380</v>
      </c>
      <c r="D36" s="52" t="s">
        <v>381</v>
      </c>
      <c r="E36" s="52" t="s">
        <v>370</v>
      </c>
      <c r="F36" s="87">
        <v>44256</v>
      </c>
      <c r="G36" s="87">
        <v>44557</v>
      </c>
      <c r="H36" s="50">
        <f t="shared" si="9"/>
        <v>10</v>
      </c>
      <c r="I36" s="182">
        <v>1436404</v>
      </c>
      <c r="J36" s="53"/>
      <c r="K36" s="53"/>
      <c r="L36" s="53"/>
      <c r="M36" s="53"/>
      <c r="N36" s="53"/>
      <c r="O36" s="47"/>
      <c r="P36" s="115">
        <v>91138</v>
      </c>
      <c r="Q36" s="47"/>
      <c r="R36" s="115">
        <v>0</v>
      </c>
      <c r="S36" s="115">
        <v>0</v>
      </c>
      <c r="T36" s="115">
        <v>0</v>
      </c>
      <c r="U36" s="115">
        <v>55754.38</v>
      </c>
      <c r="V36" s="210">
        <f>82399+102660</f>
        <v>185059</v>
      </c>
      <c r="W36" s="54">
        <f>150000+47123</f>
        <v>197123</v>
      </c>
      <c r="X36" s="54">
        <v>150000</v>
      </c>
      <c r="Y36" s="54">
        <v>150000</v>
      </c>
      <c r="Z36" s="54">
        <v>175000</v>
      </c>
      <c r="AA36" s="54">
        <v>175000</v>
      </c>
      <c r="AB36" s="54">
        <v>245266</v>
      </c>
      <c r="AC36" s="58"/>
      <c r="AD36" s="47"/>
      <c r="AE36" s="58"/>
      <c r="AF36" s="53"/>
      <c r="AG36" s="47"/>
      <c r="AH36" s="53">
        <f t="shared" si="11"/>
        <v>1424340.38</v>
      </c>
      <c r="AI36" s="51"/>
      <c r="AJ36" s="219">
        <f t="shared" si="10"/>
        <v>12063.620000000112</v>
      </c>
    </row>
    <row r="37" spans="1:36" s="36" customFormat="1" ht="15.75" x14ac:dyDescent="0.25">
      <c r="A37" s="34" t="s">
        <v>96</v>
      </c>
      <c r="B37" s="35" t="s">
        <v>97</v>
      </c>
      <c r="C37" s="52" t="s">
        <v>380</v>
      </c>
      <c r="D37" s="52" t="s">
        <v>381</v>
      </c>
      <c r="E37" s="52" t="s">
        <v>370</v>
      </c>
      <c r="F37" s="87">
        <v>44284</v>
      </c>
      <c r="G37" s="87">
        <v>44524</v>
      </c>
      <c r="H37" s="50">
        <f t="shared" si="9"/>
        <v>7.9734219269102988</v>
      </c>
      <c r="I37" s="182">
        <v>648253</v>
      </c>
      <c r="J37" s="53"/>
      <c r="K37" s="53"/>
      <c r="L37" s="53"/>
      <c r="M37" s="53"/>
      <c r="N37" s="53"/>
      <c r="O37" s="47"/>
      <c r="P37" s="115">
        <v>124344</v>
      </c>
      <c r="Q37" s="47"/>
      <c r="R37" s="115">
        <v>0</v>
      </c>
      <c r="S37" s="115">
        <v>0</v>
      </c>
      <c r="T37" s="115">
        <v>0</v>
      </c>
      <c r="U37" s="115">
        <v>0</v>
      </c>
      <c r="V37" s="210">
        <v>0</v>
      </c>
      <c r="W37" s="54">
        <f>65000+32500</f>
        <v>97500</v>
      </c>
      <c r="X37" s="54">
        <v>65000</v>
      </c>
      <c r="Y37" s="54">
        <v>65000</v>
      </c>
      <c r="Z37" s="54">
        <v>65000</v>
      </c>
      <c r="AA37" s="54">
        <v>60000</v>
      </c>
      <c r="AB37" s="54">
        <v>73909</v>
      </c>
      <c r="AC37" s="53"/>
      <c r="AD37" s="47"/>
      <c r="AE37" s="53"/>
      <c r="AF37" s="53"/>
      <c r="AG37" s="47"/>
      <c r="AH37" s="53">
        <f t="shared" si="11"/>
        <v>550753</v>
      </c>
      <c r="AI37" s="51"/>
      <c r="AJ37" s="219">
        <f t="shared" si="10"/>
        <v>97500</v>
      </c>
    </row>
    <row r="38" spans="1:36" s="36" customFormat="1" ht="15.75" x14ac:dyDescent="0.25">
      <c r="A38" s="60" t="s">
        <v>99</v>
      </c>
      <c r="B38" s="61" t="s">
        <v>100</v>
      </c>
      <c r="C38" s="52" t="s">
        <v>380</v>
      </c>
      <c r="D38" s="52" t="s">
        <v>381</v>
      </c>
      <c r="E38" s="52" t="s">
        <v>370</v>
      </c>
      <c r="F38" s="87">
        <v>44284</v>
      </c>
      <c r="G38" s="87">
        <v>44524</v>
      </c>
      <c r="H38" s="50">
        <f t="shared" si="9"/>
        <v>7.9734219269102988</v>
      </c>
      <c r="I38" s="182">
        <v>400187</v>
      </c>
      <c r="J38" s="53"/>
      <c r="K38" s="53"/>
      <c r="L38" s="53"/>
      <c r="M38" s="53"/>
      <c r="N38" s="53"/>
      <c r="O38" s="47"/>
      <c r="P38" s="115">
        <v>14681</v>
      </c>
      <c r="Q38" s="47"/>
      <c r="R38" s="115">
        <v>0</v>
      </c>
      <c r="S38" s="115">
        <v>0</v>
      </c>
      <c r="T38" s="115">
        <v>0</v>
      </c>
      <c r="U38" s="115">
        <v>0</v>
      </c>
      <c r="V38" s="210">
        <v>0</v>
      </c>
      <c r="W38" s="54">
        <f>50000+25000</f>
        <v>75000</v>
      </c>
      <c r="X38" s="54">
        <v>50000</v>
      </c>
      <c r="Y38" s="54">
        <v>50000</v>
      </c>
      <c r="Z38" s="54">
        <v>50000</v>
      </c>
      <c r="AA38" s="54">
        <v>50000</v>
      </c>
      <c r="AB38" s="54">
        <v>35506</v>
      </c>
      <c r="AC38" s="53"/>
      <c r="AD38" s="47"/>
      <c r="AE38" s="53"/>
      <c r="AF38" s="53"/>
      <c r="AG38" s="47"/>
      <c r="AH38" s="53">
        <f t="shared" si="11"/>
        <v>325187</v>
      </c>
      <c r="AI38" s="51"/>
      <c r="AJ38" s="219">
        <f t="shared" si="10"/>
        <v>75000</v>
      </c>
    </row>
    <row r="39" spans="1:36" s="36" customFormat="1" ht="15.75" x14ac:dyDescent="0.25">
      <c r="A39" s="34" t="s">
        <v>102</v>
      </c>
      <c r="B39" s="35" t="s">
        <v>385</v>
      </c>
      <c r="C39" s="52" t="s">
        <v>380</v>
      </c>
      <c r="D39" s="52" t="s">
        <v>381</v>
      </c>
      <c r="E39" s="52" t="s">
        <v>320</v>
      </c>
      <c r="F39" s="52" t="s">
        <v>24</v>
      </c>
      <c r="G39" s="52" t="s">
        <v>24</v>
      </c>
      <c r="H39" s="52" t="s">
        <v>24</v>
      </c>
      <c r="I39" s="86">
        <v>0</v>
      </c>
      <c r="J39" s="53"/>
      <c r="K39" s="53"/>
      <c r="L39" s="53"/>
      <c r="M39" s="53"/>
      <c r="N39" s="53"/>
      <c r="O39" s="47"/>
      <c r="P39" s="115">
        <v>0</v>
      </c>
      <c r="Q39" s="47"/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53"/>
      <c r="X39" s="53"/>
      <c r="Y39" s="53"/>
      <c r="Z39" s="53"/>
      <c r="AA39" s="53"/>
      <c r="AB39" s="53"/>
      <c r="AC39" s="53"/>
      <c r="AD39" s="47"/>
      <c r="AE39" s="53"/>
      <c r="AF39" s="53"/>
      <c r="AG39" s="47"/>
      <c r="AH39" s="53">
        <f t="shared" si="11"/>
        <v>0</v>
      </c>
      <c r="AI39" s="51"/>
      <c r="AJ39" s="219">
        <f t="shared" si="10"/>
        <v>0</v>
      </c>
    </row>
    <row r="40" spans="1:36" s="36" customFormat="1" ht="15.75" x14ac:dyDescent="0.25">
      <c r="A40" s="34" t="s">
        <v>107</v>
      </c>
      <c r="B40" s="35" t="s">
        <v>108</v>
      </c>
      <c r="C40" s="52" t="s">
        <v>380</v>
      </c>
      <c r="D40" s="52" t="s">
        <v>381</v>
      </c>
      <c r="E40" s="52" t="s">
        <v>320</v>
      </c>
      <c r="F40" s="52">
        <v>44336</v>
      </c>
      <c r="G40" s="52">
        <v>44456</v>
      </c>
      <c r="H40" s="50">
        <f>((G40-F40)/7)/4.3</f>
        <v>3.9867109634551494</v>
      </c>
      <c r="I40" s="53">
        <v>175000</v>
      </c>
      <c r="J40" s="53"/>
      <c r="K40" s="53"/>
      <c r="L40" s="53"/>
      <c r="M40" s="53"/>
      <c r="N40" s="53"/>
      <c r="O40" s="47"/>
      <c r="P40" s="115">
        <v>0</v>
      </c>
      <c r="Q40" s="47"/>
      <c r="R40" s="115">
        <v>0</v>
      </c>
      <c r="S40" s="115">
        <v>0</v>
      </c>
      <c r="T40" s="115">
        <v>0</v>
      </c>
      <c r="U40" s="115">
        <v>0</v>
      </c>
      <c r="V40" s="210">
        <v>0</v>
      </c>
      <c r="W40" s="210">
        <f>50000+12500</f>
        <v>62500</v>
      </c>
      <c r="X40" s="54">
        <v>50000</v>
      </c>
      <c r="Y40" s="54">
        <v>25000</v>
      </c>
      <c r="Z40" s="53"/>
      <c r="AA40" s="53"/>
      <c r="AB40" s="53"/>
      <c r="AC40" s="53"/>
      <c r="AD40" s="47"/>
      <c r="AE40" s="53"/>
      <c r="AF40" s="53"/>
      <c r="AG40" s="47"/>
      <c r="AH40" s="53">
        <f t="shared" si="11"/>
        <v>137500</v>
      </c>
      <c r="AI40" s="51"/>
      <c r="AJ40" s="219">
        <f t="shared" si="10"/>
        <v>37500</v>
      </c>
    </row>
    <row r="41" spans="1:36" s="36" customFormat="1" ht="15.75" x14ac:dyDescent="0.25">
      <c r="A41" s="34" t="s">
        <v>110</v>
      </c>
      <c r="B41" s="35" t="s">
        <v>111</v>
      </c>
      <c r="C41" s="52" t="s">
        <v>380</v>
      </c>
      <c r="D41" s="52" t="s">
        <v>381</v>
      </c>
      <c r="E41" s="52" t="s">
        <v>320</v>
      </c>
      <c r="F41" s="52"/>
      <c r="G41" s="52"/>
      <c r="H41" s="50"/>
      <c r="I41" s="53">
        <v>0</v>
      </c>
      <c r="J41" s="53"/>
      <c r="K41" s="53"/>
      <c r="L41" s="53"/>
      <c r="M41" s="53"/>
      <c r="N41" s="53"/>
      <c r="O41" s="47"/>
      <c r="P41" s="115">
        <v>0</v>
      </c>
      <c r="Q41" s="47"/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58"/>
      <c r="X41" s="58"/>
      <c r="Y41" s="58"/>
      <c r="Z41" s="53"/>
      <c r="AA41" s="53"/>
      <c r="AB41" s="53"/>
      <c r="AC41" s="53"/>
      <c r="AD41" s="47"/>
      <c r="AE41" s="53"/>
      <c r="AF41" s="53"/>
      <c r="AG41" s="47"/>
      <c r="AH41" s="53">
        <f t="shared" si="11"/>
        <v>0</v>
      </c>
      <c r="AI41" s="51"/>
      <c r="AJ41" s="55">
        <f t="shared" si="10"/>
        <v>0</v>
      </c>
    </row>
    <row r="42" spans="1:36" s="36" customFormat="1" ht="15.75" x14ac:dyDescent="0.25">
      <c r="A42" s="93"/>
      <c r="B42" s="94"/>
      <c r="C42" s="91"/>
      <c r="D42" s="91"/>
      <c r="E42" s="91"/>
      <c r="F42" s="91"/>
      <c r="G42" s="91"/>
      <c r="H42" s="92"/>
      <c r="I42" s="59">
        <f>SUM(I28:N40)</f>
        <v>9105303</v>
      </c>
      <c r="J42" s="59"/>
      <c r="K42" s="59"/>
      <c r="L42" s="59"/>
      <c r="M42" s="59"/>
      <c r="N42" s="59"/>
      <c r="O42" s="47"/>
      <c r="P42" s="59">
        <f>SUM(P28:P41)</f>
        <v>2916094</v>
      </c>
      <c r="Q42" s="47"/>
      <c r="R42" s="59">
        <f>SUM(R28:R41)</f>
        <v>93223</v>
      </c>
      <c r="S42" s="59">
        <f>SUM(S28:S41)</f>
        <v>0</v>
      </c>
      <c r="T42" s="59">
        <f t="shared" ref="T42:AF42" si="12">SUM(T28:T41)</f>
        <v>319732</v>
      </c>
      <c r="U42" s="59">
        <f t="shared" si="12"/>
        <v>289952.2</v>
      </c>
      <c r="V42" s="59">
        <f t="shared" si="12"/>
        <v>254434</v>
      </c>
      <c r="W42" s="59">
        <f t="shared" si="12"/>
        <v>1016851</v>
      </c>
      <c r="X42" s="59">
        <f t="shared" si="12"/>
        <v>892391</v>
      </c>
      <c r="Y42" s="59">
        <f t="shared" si="12"/>
        <v>805000</v>
      </c>
      <c r="Z42" s="59">
        <f t="shared" si="12"/>
        <v>740000</v>
      </c>
      <c r="AA42" s="59">
        <f t="shared" si="12"/>
        <v>610000</v>
      </c>
      <c r="AB42" s="59">
        <f t="shared" si="12"/>
        <v>531811</v>
      </c>
      <c r="AC42" s="59">
        <f t="shared" si="12"/>
        <v>0</v>
      </c>
      <c r="AD42" s="47"/>
      <c r="AE42" s="59">
        <f t="shared" si="12"/>
        <v>0</v>
      </c>
      <c r="AF42" s="59">
        <f t="shared" si="12"/>
        <v>0</v>
      </c>
      <c r="AG42" s="47"/>
      <c r="AH42" s="53">
        <f t="shared" si="11"/>
        <v>8469488.1999999993</v>
      </c>
      <c r="AI42" s="51"/>
      <c r="AJ42" s="217">
        <f t="shared" si="10"/>
        <v>635814.80000000075</v>
      </c>
    </row>
    <row r="43" spans="1:36" s="36" customFormat="1" ht="15.75" x14ac:dyDescent="0.25">
      <c r="A43" s="106" t="s">
        <v>517</v>
      </c>
      <c r="B43" s="107"/>
      <c r="C43" s="101" t="s">
        <v>373</v>
      </c>
      <c r="D43" s="102"/>
      <c r="E43" s="102"/>
      <c r="F43" s="102"/>
      <c r="G43" s="102"/>
      <c r="H43" s="84"/>
      <c r="I43" s="193"/>
      <c r="J43" s="103"/>
      <c r="K43" s="103"/>
      <c r="L43" s="103"/>
      <c r="M43" s="103"/>
      <c r="N43" s="103"/>
      <c r="O43" s="47"/>
      <c r="P43" s="85"/>
      <c r="Q43" s="47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47"/>
      <c r="AE43" s="103"/>
      <c r="AF43" s="103"/>
      <c r="AG43" s="47"/>
      <c r="AH43" s="85"/>
      <c r="AI43" s="51"/>
      <c r="AJ43" s="55"/>
    </row>
    <row r="44" spans="1:36" s="36" customFormat="1" ht="15.75" x14ac:dyDescent="0.25">
      <c r="A44" s="34"/>
      <c r="B44" s="34" t="s">
        <v>491</v>
      </c>
      <c r="C44" s="52"/>
      <c r="D44" s="52"/>
      <c r="E44" s="52"/>
      <c r="F44" s="52"/>
      <c r="G44" s="52"/>
      <c r="H44" s="50"/>
      <c r="I44" s="53"/>
      <c r="J44" s="53"/>
      <c r="K44" s="53"/>
      <c r="L44" s="53"/>
      <c r="M44" s="53"/>
      <c r="N44" s="53"/>
      <c r="O44" s="47"/>
      <c r="P44" s="115"/>
      <c r="Q44" s="47"/>
      <c r="R44" s="115"/>
      <c r="S44" s="115"/>
      <c r="T44" s="115"/>
      <c r="U44" s="115"/>
      <c r="V44" s="115"/>
      <c r="W44" s="58"/>
      <c r="X44" s="53"/>
      <c r="Y44" s="53"/>
      <c r="Z44" s="53"/>
      <c r="AA44" s="53"/>
      <c r="AB44" s="53"/>
      <c r="AC44" s="53"/>
      <c r="AD44" s="47"/>
      <c r="AE44" s="53"/>
      <c r="AF44" s="53"/>
      <c r="AG44" s="47"/>
      <c r="AH44" s="53"/>
      <c r="AI44" s="51"/>
      <c r="AJ44" s="55">
        <f t="shared" ref="AJ44:AJ50" si="13">I44-AH44</f>
        <v>0</v>
      </c>
    </row>
    <row r="45" spans="1:36" s="36" customFormat="1" ht="15.75" x14ac:dyDescent="0.25">
      <c r="A45" s="34"/>
      <c r="B45" s="34" t="s">
        <v>492</v>
      </c>
      <c r="C45" s="52"/>
      <c r="D45" s="52"/>
      <c r="E45" s="52"/>
      <c r="F45" s="52"/>
      <c r="G45" s="52"/>
      <c r="H45" s="50"/>
      <c r="I45" s="53"/>
      <c r="J45" s="53"/>
      <c r="K45" s="53"/>
      <c r="L45" s="53"/>
      <c r="M45" s="53"/>
      <c r="N45" s="53"/>
      <c r="O45" s="47"/>
      <c r="P45" s="115"/>
      <c r="Q45" s="47"/>
      <c r="R45" s="115"/>
      <c r="S45" s="115"/>
      <c r="T45" s="115"/>
      <c r="U45" s="115"/>
      <c r="V45" s="115"/>
      <c r="W45" s="58"/>
      <c r="X45" s="53"/>
      <c r="Y45" s="53"/>
      <c r="Z45" s="53"/>
      <c r="AA45" s="53"/>
      <c r="AB45" s="53"/>
      <c r="AC45" s="53"/>
      <c r="AD45" s="47"/>
      <c r="AE45" s="53"/>
      <c r="AF45" s="53"/>
      <c r="AG45" s="47"/>
      <c r="AH45" s="53"/>
      <c r="AI45" s="51"/>
      <c r="AJ45" s="55">
        <f t="shared" si="13"/>
        <v>0</v>
      </c>
    </row>
    <row r="46" spans="1:36" s="36" customFormat="1" ht="15.75" x14ac:dyDescent="0.25">
      <c r="A46" s="34"/>
      <c r="B46" s="34" t="s">
        <v>494</v>
      </c>
      <c r="C46" s="52"/>
      <c r="D46" s="52"/>
      <c r="E46" s="52"/>
      <c r="F46" s="52"/>
      <c r="G46" s="52"/>
      <c r="H46" s="50"/>
      <c r="I46" s="53"/>
      <c r="J46" s="53"/>
      <c r="K46" s="53"/>
      <c r="L46" s="53"/>
      <c r="M46" s="53"/>
      <c r="N46" s="53"/>
      <c r="O46" s="47"/>
      <c r="P46" s="115"/>
      <c r="Q46" s="47"/>
      <c r="R46" s="115"/>
      <c r="S46" s="115"/>
      <c r="T46" s="115"/>
      <c r="U46" s="115"/>
      <c r="V46" s="115"/>
      <c r="W46" s="58"/>
      <c r="X46" s="53"/>
      <c r="Y46" s="53"/>
      <c r="Z46" s="53"/>
      <c r="AA46" s="53"/>
      <c r="AB46" s="53"/>
      <c r="AC46" s="53"/>
      <c r="AD46" s="47"/>
      <c r="AE46" s="53"/>
      <c r="AF46" s="53"/>
      <c r="AG46" s="47"/>
      <c r="AH46" s="53"/>
      <c r="AI46" s="51"/>
      <c r="AJ46" s="55">
        <f t="shared" si="13"/>
        <v>0</v>
      </c>
    </row>
    <row r="47" spans="1:36" s="36" customFormat="1" ht="15.75" x14ac:dyDescent="0.25">
      <c r="A47" s="34"/>
      <c r="B47" s="34" t="s">
        <v>493</v>
      </c>
      <c r="C47" s="52"/>
      <c r="D47" s="52"/>
      <c r="E47" s="52"/>
      <c r="F47" s="52"/>
      <c r="G47" s="52"/>
      <c r="H47" s="50"/>
      <c r="I47" s="53"/>
      <c r="J47" s="53"/>
      <c r="K47" s="53"/>
      <c r="L47" s="53"/>
      <c r="M47" s="53"/>
      <c r="N47" s="53"/>
      <c r="O47" s="47"/>
      <c r="P47" s="115"/>
      <c r="Q47" s="47"/>
      <c r="R47" s="115"/>
      <c r="S47" s="115"/>
      <c r="T47" s="115"/>
      <c r="U47" s="115"/>
      <c r="V47" s="115"/>
      <c r="W47" s="58"/>
      <c r="X47" s="53"/>
      <c r="Y47" s="53"/>
      <c r="Z47" s="53"/>
      <c r="AA47" s="53"/>
      <c r="AB47" s="53"/>
      <c r="AC47" s="53"/>
      <c r="AD47" s="47"/>
      <c r="AE47" s="53"/>
      <c r="AF47" s="53"/>
      <c r="AG47" s="47"/>
      <c r="AH47" s="53"/>
      <c r="AI47" s="51"/>
      <c r="AJ47" s="55">
        <f t="shared" si="13"/>
        <v>0</v>
      </c>
    </row>
    <row r="48" spans="1:36" s="36" customFormat="1" ht="15.75" x14ac:dyDescent="0.25">
      <c r="A48" s="34"/>
      <c r="B48" s="35"/>
      <c r="C48" s="52"/>
      <c r="D48" s="52"/>
      <c r="E48" s="52"/>
      <c r="F48" s="52"/>
      <c r="G48" s="52"/>
      <c r="H48" s="50"/>
      <c r="I48" s="53"/>
      <c r="J48" s="53"/>
      <c r="K48" s="53"/>
      <c r="L48" s="53"/>
      <c r="M48" s="53"/>
      <c r="N48" s="53"/>
      <c r="O48" s="47"/>
      <c r="P48" s="115"/>
      <c r="Q48" s="47"/>
      <c r="R48" s="115"/>
      <c r="S48" s="115"/>
      <c r="T48" s="115"/>
      <c r="U48" s="115"/>
      <c r="V48" s="115"/>
      <c r="W48" s="58"/>
      <c r="X48" s="58"/>
      <c r="Y48" s="58"/>
      <c r="Z48" s="58"/>
      <c r="AA48" s="53"/>
      <c r="AB48" s="53"/>
      <c r="AC48" s="53"/>
      <c r="AD48" s="47"/>
      <c r="AE48" s="58"/>
      <c r="AF48" s="58"/>
      <c r="AG48" s="47"/>
      <c r="AH48" s="53">
        <f>SUM(P48:AG48)</f>
        <v>0</v>
      </c>
      <c r="AI48" s="51"/>
      <c r="AJ48" s="55">
        <f t="shared" si="13"/>
        <v>0</v>
      </c>
    </row>
    <row r="49" spans="1:36" s="36" customFormat="1" ht="15.75" x14ac:dyDescent="0.25">
      <c r="A49" s="34"/>
      <c r="B49" s="35"/>
      <c r="C49" s="52"/>
      <c r="D49" s="52"/>
      <c r="E49" s="52"/>
      <c r="F49" s="52"/>
      <c r="G49" s="52"/>
      <c r="H49" s="50"/>
      <c r="I49" s="53"/>
      <c r="J49" s="53"/>
      <c r="K49" s="53"/>
      <c r="L49" s="53"/>
      <c r="M49" s="53"/>
      <c r="N49" s="53"/>
      <c r="O49" s="47"/>
      <c r="P49" s="115"/>
      <c r="Q49" s="47"/>
      <c r="R49" s="115"/>
      <c r="S49" s="115"/>
      <c r="T49" s="115"/>
      <c r="U49" s="115"/>
      <c r="V49" s="115"/>
      <c r="W49" s="58"/>
      <c r="X49" s="58"/>
      <c r="Y49" s="58"/>
      <c r="Z49" s="58"/>
      <c r="AA49" s="53"/>
      <c r="AB49" s="53"/>
      <c r="AC49" s="53"/>
      <c r="AD49" s="47"/>
      <c r="AE49" s="58"/>
      <c r="AF49" s="58"/>
      <c r="AG49" s="47"/>
      <c r="AH49" s="53">
        <f>SUM(P49:AG49)</f>
        <v>0</v>
      </c>
      <c r="AI49" s="51"/>
      <c r="AJ49" s="55">
        <f t="shared" si="13"/>
        <v>0</v>
      </c>
    </row>
    <row r="50" spans="1:36" s="36" customFormat="1" ht="15.75" x14ac:dyDescent="0.25">
      <c r="A50" s="93"/>
      <c r="B50" s="94"/>
      <c r="C50" s="91"/>
      <c r="D50" s="91"/>
      <c r="E50" s="91"/>
      <c r="F50" s="91"/>
      <c r="G50" s="91"/>
      <c r="H50" s="92"/>
      <c r="I50" s="59">
        <f>SUM(I44:I49)</f>
        <v>0</v>
      </c>
      <c r="J50" s="59"/>
      <c r="K50" s="59"/>
      <c r="L50" s="59"/>
      <c r="M50" s="59"/>
      <c r="N50" s="59"/>
      <c r="O50" s="47"/>
      <c r="P50" s="59">
        <f>SUM(P44:P49)</f>
        <v>0</v>
      </c>
      <c r="Q50" s="47"/>
      <c r="R50" s="59">
        <f>SUM(R44:R49)</f>
        <v>0</v>
      </c>
      <c r="S50" s="59">
        <f t="shared" ref="S50:AF50" si="14">SUM(S44:S49)</f>
        <v>0</v>
      </c>
      <c r="T50" s="59">
        <f t="shared" si="14"/>
        <v>0</v>
      </c>
      <c r="U50" s="59">
        <f t="shared" si="14"/>
        <v>0</v>
      </c>
      <c r="V50" s="59">
        <f t="shared" si="14"/>
        <v>0</v>
      </c>
      <c r="W50" s="59">
        <f t="shared" si="14"/>
        <v>0</v>
      </c>
      <c r="X50" s="59">
        <f t="shared" si="14"/>
        <v>0</v>
      </c>
      <c r="Y50" s="59">
        <f t="shared" si="14"/>
        <v>0</v>
      </c>
      <c r="Z50" s="59">
        <f t="shared" si="14"/>
        <v>0</v>
      </c>
      <c r="AA50" s="59">
        <f t="shared" si="14"/>
        <v>0</v>
      </c>
      <c r="AB50" s="59">
        <f t="shared" si="14"/>
        <v>0</v>
      </c>
      <c r="AC50" s="59">
        <f t="shared" si="14"/>
        <v>0</v>
      </c>
      <c r="AD50" s="47"/>
      <c r="AE50" s="59">
        <f t="shared" si="14"/>
        <v>0</v>
      </c>
      <c r="AF50" s="59">
        <f t="shared" si="14"/>
        <v>0</v>
      </c>
      <c r="AG50" s="47"/>
      <c r="AH50" s="53">
        <f>SUM(P50:AG50)</f>
        <v>0</v>
      </c>
      <c r="AI50" s="51"/>
      <c r="AJ50" s="55">
        <f t="shared" si="13"/>
        <v>0</v>
      </c>
    </row>
    <row r="51" spans="1:36" s="36" customFormat="1" ht="15.75" x14ac:dyDescent="0.25">
      <c r="A51" s="106" t="s">
        <v>115</v>
      </c>
      <c r="B51" s="107"/>
      <c r="C51" s="101" t="s">
        <v>386</v>
      </c>
      <c r="D51" s="102"/>
      <c r="E51" s="102"/>
      <c r="F51" s="102"/>
      <c r="G51" s="102"/>
      <c r="H51" s="84"/>
      <c r="I51" s="193"/>
      <c r="J51" s="103"/>
      <c r="K51" s="103"/>
      <c r="L51" s="103"/>
      <c r="M51" s="103"/>
      <c r="N51" s="103"/>
      <c r="O51" s="47"/>
      <c r="P51" s="85"/>
      <c r="Q51" s="47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47"/>
      <c r="AE51" s="103"/>
      <c r="AF51" s="103"/>
      <c r="AG51" s="47"/>
      <c r="AH51" s="85"/>
      <c r="AI51" s="51"/>
      <c r="AJ51" s="55"/>
    </row>
    <row r="52" spans="1:36" s="36" customFormat="1" ht="15.75" x14ac:dyDescent="0.25">
      <c r="A52" s="60" t="s">
        <v>304</v>
      </c>
      <c r="B52" s="61" t="s">
        <v>420</v>
      </c>
      <c r="C52" s="52" t="s">
        <v>386</v>
      </c>
      <c r="D52" s="52" t="s">
        <v>386</v>
      </c>
      <c r="E52" s="52" t="s">
        <v>370</v>
      </c>
      <c r="F52" s="52">
        <v>44256</v>
      </c>
      <c r="G52" s="52">
        <v>44347</v>
      </c>
      <c r="H52" s="50">
        <f>((G52-F52)/7)/4.3</f>
        <v>3.0232558139534884</v>
      </c>
      <c r="I52" s="182">
        <v>52095</v>
      </c>
      <c r="J52" s="53"/>
      <c r="K52" s="53"/>
      <c r="L52" s="53"/>
      <c r="M52" s="53"/>
      <c r="N52" s="53"/>
      <c r="O52" s="47"/>
      <c r="P52" s="115">
        <v>0</v>
      </c>
      <c r="Q52" s="47"/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58">
        <v>52095</v>
      </c>
      <c r="X52" s="53"/>
      <c r="Y52" s="53"/>
      <c r="Z52" s="53"/>
      <c r="AA52" s="53"/>
      <c r="AB52" s="53"/>
      <c r="AC52" s="53"/>
      <c r="AD52" s="47"/>
      <c r="AE52" s="53"/>
      <c r="AF52" s="53"/>
      <c r="AG52" s="47"/>
      <c r="AH52" s="53">
        <f>SUM(P52:AG52)</f>
        <v>52095</v>
      </c>
      <c r="AI52" s="51"/>
      <c r="AJ52" s="219">
        <f>I52-AH52</f>
        <v>0</v>
      </c>
    </row>
    <row r="53" spans="1:36" s="36" customFormat="1" ht="15.75" x14ac:dyDescent="0.25">
      <c r="A53" s="94"/>
      <c r="B53" s="96"/>
      <c r="C53" s="91"/>
      <c r="D53" s="91"/>
      <c r="E53" s="91"/>
      <c r="F53" s="91"/>
      <c r="G53" s="91"/>
      <c r="H53" s="92"/>
      <c r="I53" s="59">
        <f>SUM(I52)</f>
        <v>52095</v>
      </c>
      <c r="J53" s="59"/>
      <c r="K53" s="59"/>
      <c r="L53" s="59"/>
      <c r="M53" s="59"/>
      <c r="N53" s="59"/>
      <c r="O53" s="47"/>
      <c r="P53" s="59">
        <f>SUM(P52:P52)</f>
        <v>0</v>
      </c>
      <c r="Q53" s="47"/>
      <c r="R53" s="59">
        <f t="shared" ref="R53:AC53" si="15">SUM(R52)</f>
        <v>0</v>
      </c>
      <c r="S53" s="59">
        <f t="shared" si="15"/>
        <v>0</v>
      </c>
      <c r="T53" s="59">
        <f t="shared" si="15"/>
        <v>0</v>
      </c>
      <c r="U53" s="59">
        <f t="shared" si="15"/>
        <v>0</v>
      </c>
      <c r="V53" s="59">
        <f t="shared" si="15"/>
        <v>0</v>
      </c>
      <c r="W53" s="59">
        <f t="shared" si="15"/>
        <v>52095</v>
      </c>
      <c r="X53" s="59">
        <f t="shared" si="15"/>
        <v>0</v>
      </c>
      <c r="Y53" s="59">
        <f t="shared" si="15"/>
        <v>0</v>
      </c>
      <c r="Z53" s="59">
        <f t="shared" si="15"/>
        <v>0</v>
      </c>
      <c r="AA53" s="59">
        <f t="shared" si="15"/>
        <v>0</v>
      </c>
      <c r="AB53" s="59">
        <f t="shared" si="15"/>
        <v>0</v>
      </c>
      <c r="AC53" s="59">
        <f t="shared" si="15"/>
        <v>0</v>
      </c>
      <c r="AD53" s="47"/>
      <c r="AE53" s="59">
        <f>SUM(AE52)</f>
        <v>0</v>
      </c>
      <c r="AF53" s="59">
        <f>SUM(AF31:AF52)</f>
        <v>0</v>
      </c>
      <c r="AG53" s="47"/>
      <c r="AH53" s="53">
        <f>SUM(P53:AG53)</f>
        <v>52095</v>
      </c>
      <c r="AI53" s="51"/>
      <c r="AJ53" s="217">
        <f>I53-AH53</f>
        <v>0</v>
      </c>
    </row>
    <row r="54" spans="1:36" s="36" customFormat="1" ht="15.75" x14ac:dyDescent="0.25">
      <c r="A54" s="106" t="s">
        <v>119</v>
      </c>
      <c r="B54" s="107"/>
      <c r="C54" s="101" t="s">
        <v>387</v>
      </c>
      <c r="D54" s="102"/>
      <c r="E54" s="102"/>
      <c r="F54" s="102"/>
      <c r="G54" s="102"/>
      <c r="H54" s="84"/>
      <c r="I54" s="193" t="s">
        <v>444</v>
      </c>
      <c r="J54" s="103"/>
      <c r="K54" s="103"/>
      <c r="L54" s="103"/>
      <c r="M54" s="103"/>
      <c r="N54" s="103"/>
      <c r="O54" s="47"/>
      <c r="P54" s="85"/>
      <c r="Q54" s="47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47"/>
      <c r="AE54" s="103"/>
      <c r="AF54" s="103"/>
      <c r="AG54" s="47"/>
      <c r="AH54" s="85"/>
      <c r="AI54" s="51"/>
      <c r="AJ54" s="55"/>
    </row>
    <row r="55" spans="1:36" s="36" customFormat="1" ht="15.75" x14ac:dyDescent="0.25">
      <c r="A55" s="221" t="s">
        <v>284</v>
      </c>
      <c r="B55" s="57" t="s">
        <v>421</v>
      </c>
      <c r="C55" s="52" t="s">
        <v>387</v>
      </c>
      <c r="D55" s="52" t="s">
        <v>402</v>
      </c>
      <c r="E55" s="52" t="s">
        <v>370</v>
      </c>
      <c r="F55" s="52"/>
      <c r="G55" s="52"/>
      <c r="H55" s="50">
        <f t="shared" ref="H55:H69" si="16">((G55-F55)/7)/4.3</f>
        <v>0</v>
      </c>
      <c r="I55" s="182">
        <v>604799</v>
      </c>
      <c r="J55" s="53"/>
      <c r="K55" s="53"/>
      <c r="L55" s="53"/>
      <c r="M55" s="53"/>
      <c r="N55" s="53"/>
      <c r="O55" s="47"/>
      <c r="P55" s="115">
        <v>568347</v>
      </c>
      <c r="Q55" s="47"/>
      <c r="R55" s="115">
        <v>879</v>
      </c>
      <c r="S55" s="115">
        <v>35573</v>
      </c>
      <c r="T55" s="115">
        <v>656</v>
      </c>
      <c r="U55" s="115">
        <v>0</v>
      </c>
      <c r="V55" s="115"/>
      <c r="W55" s="89"/>
      <c r="X55" s="89"/>
      <c r="Y55" s="89"/>
      <c r="Z55" s="89"/>
      <c r="AA55" s="58"/>
      <c r="AB55" s="58"/>
      <c r="AC55" s="58"/>
      <c r="AD55" s="47"/>
      <c r="AE55" s="53"/>
      <c r="AF55" s="53"/>
      <c r="AG55" s="47"/>
      <c r="AH55" s="53">
        <f>SUM(P55:AG55)</f>
        <v>605455</v>
      </c>
      <c r="AI55" s="51"/>
      <c r="AJ55" s="55">
        <f>I55-AH55</f>
        <v>-656</v>
      </c>
    </row>
    <row r="56" spans="1:36" s="36" customFormat="1" ht="15.75" x14ac:dyDescent="0.25">
      <c r="A56" s="221" t="s">
        <v>116</v>
      </c>
      <c r="B56" s="57" t="s">
        <v>117</v>
      </c>
      <c r="C56" s="52" t="s">
        <v>387</v>
      </c>
      <c r="D56" s="52" t="s">
        <v>402</v>
      </c>
      <c r="E56" s="52" t="s">
        <v>370</v>
      </c>
      <c r="F56" s="52">
        <v>44075</v>
      </c>
      <c r="G56" s="52">
        <v>44286</v>
      </c>
      <c r="H56" s="50">
        <f t="shared" si="16"/>
        <v>7.0099667774086383</v>
      </c>
      <c r="I56" s="182">
        <v>940687</v>
      </c>
      <c r="J56" s="53"/>
      <c r="K56" s="53"/>
      <c r="L56" s="53"/>
      <c r="M56" s="53"/>
      <c r="N56" s="53"/>
      <c r="O56" s="47"/>
      <c r="P56" s="115">
        <v>720455</v>
      </c>
      <c r="Q56" s="47"/>
      <c r="R56" s="115">
        <v>114649</v>
      </c>
      <c r="S56" s="115"/>
      <c r="T56" s="115">
        <v>105583</v>
      </c>
      <c r="U56" s="115"/>
      <c r="V56" s="115"/>
      <c r="W56" s="89"/>
      <c r="X56" s="89"/>
      <c r="Y56" s="89"/>
      <c r="Z56" s="89"/>
      <c r="AA56" s="58"/>
      <c r="AB56" s="58"/>
      <c r="AC56" s="58"/>
      <c r="AD56" s="47"/>
      <c r="AE56" s="53"/>
      <c r="AF56" s="53"/>
      <c r="AG56" s="47"/>
      <c r="AH56" s="53">
        <f>SUM(P56:AG56)</f>
        <v>940687</v>
      </c>
      <c r="AI56" s="51"/>
      <c r="AJ56" s="55">
        <f t="shared" ref="AJ56:AJ69" si="17">I56-AH56</f>
        <v>0</v>
      </c>
    </row>
    <row r="57" spans="1:36" s="36" customFormat="1" ht="15.75" x14ac:dyDescent="0.25">
      <c r="A57" s="222" t="s">
        <v>121</v>
      </c>
      <c r="B57" s="65" t="s">
        <v>122</v>
      </c>
      <c r="C57" s="52" t="s">
        <v>387</v>
      </c>
      <c r="D57" s="52" t="s">
        <v>402</v>
      </c>
      <c r="E57" s="52" t="s">
        <v>370</v>
      </c>
      <c r="F57" s="52">
        <v>44136</v>
      </c>
      <c r="G57" s="52">
        <v>44286</v>
      </c>
      <c r="H57" s="50">
        <f t="shared" si="16"/>
        <v>4.9833887043189371</v>
      </c>
      <c r="I57" s="211">
        <v>226188</v>
      </c>
      <c r="J57" s="53">
        <v>819670</v>
      </c>
      <c r="K57" s="53"/>
      <c r="L57" s="53"/>
      <c r="M57" s="53"/>
      <c r="N57" s="53"/>
      <c r="O57" s="47"/>
      <c r="P57" s="115">
        <v>64622</v>
      </c>
      <c r="Q57" s="47"/>
      <c r="R57" s="115">
        <v>39562</v>
      </c>
      <c r="S57" s="115">
        <v>18328</v>
      </c>
      <c r="T57" s="115">
        <v>101052</v>
      </c>
      <c r="U57" s="115">
        <v>2623.99</v>
      </c>
      <c r="V57" s="115"/>
      <c r="W57" s="53"/>
      <c r="X57" s="53"/>
      <c r="Y57" s="53"/>
      <c r="Z57" s="53"/>
      <c r="AA57" s="53"/>
      <c r="AB57" s="53"/>
      <c r="AC57" s="53"/>
      <c r="AD57" s="47"/>
      <c r="AE57" s="53"/>
      <c r="AF57" s="53"/>
      <c r="AG57" s="47"/>
      <c r="AH57" s="53">
        <f t="shared" ref="AH57:AH106" si="18">SUM(P57:AG57)</f>
        <v>226187.99</v>
      </c>
      <c r="AI57" s="51"/>
      <c r="AJ57" s="55">
        <f t="shared" si="17"/>
        <v>1.0000000009313226E-2</v>
      </c>
    </row>
    <row r="58" spans="1:36" s="36" customFormat="1" ht="15.75" x14ac:dyDescent="0.25">
      <c r="A58" s="222" t="s">
        <v>124</v>
      </c>
      <c r="B58" s="65" t="s">
        <v>125</v>
      </c>
      <c r="C58" s="52" t="s">
        <v>387</v>
      </c>
      <c r="D58" s="52" t="s">
        <v>402</v>
      </c>
      <c r="E58" s="52" t="s">
        <v>370</v>
      </c>
      <c r="F58" s="52">
        <v>44136</v>
      </c>
      <c r="G58" s="52">
        <v>44286</v>
      </c>
      <c r="H58" s="50">
        <f t="shared" si="16"/>
        <v>4.9833887043189371</v>
      </c>
      <c r="I58" s="182">
        <v>314022</v>
      </c>
      <c r="J58" s="53"/>
      <c r="K58" s="53"/>
      <c r="L58" s="53"/>
      <c r="M58" s="53"/>
      <c r="N58" s="53"/>
      <c r="O58" s="47"/>
      <c r="P58" s="115">
        <v>124791</v>
      </c>
      <c r="Q58" s="47"/>
      <c r="R58" s="115">
        <v>64927</v>
      </c>
      <c r="S58" s="115">
        <v>25844</v>
      </c>
      <c r="T58" s="115">
        <v>98461</v>
      </c>
      <c r="U58" s="115">
        <v>1940</v>
      </c>
      <c r="V58" s="115"/>
      <c r="W58" s="53"/>
      <c r="X58" s="53"/>
      <c r="Y58" s="53"/>
      <c r="Z58" s="53"/>
      <c r="AA58" s="53"/>
      <c r="AB58" s="53"/>
      <c r="AC58" s="53"/>
      <c r="AD58" s="47"/>
      <c r="AE58" s="53"/>
      <c r="AF58" s="53"/>
      <c r="AG58" s="47"/>
      <c r="AH58" s="53">
        <f t="shared" si="18"/>
        <v>315963</v>
      </c>
      <c r="AI58" s="51"/>
      <c r="AJ58" s="55">
        <f t="shared" si="17"/>
        <v>-1941</v>
      </c>
    </row>
    <row r="59" spans="1:36" s="36" customFormat="1" ht="15.75" x14ac:dyDescent="0.25">
      <c r="A59" s="222" t="s">
        <v>127</v>
      </c>
      <c r="B59" s="65" t="s">
        <v>396</v>
      </c>
      <c r="C59" s="52" t="s">
        <v>387</v>
      </c>
      <c r="D59" s="52" t="s">
        <v>402</v>
      </c>
      <c r="E59" s="52" t="s">
        <v>370</v>
      </c>
      <c r="F59" s="52">
        <v>44272</v>
      </c>
      <c r="G59" s="52">
        <v>44362</v>
      </c>
      <c r="H59" s="50">
        <f t="shared" si="16"/>
        <v>2.9900332225913622</v>
      </c>
      <c r="I59" s="182">
        <v>383545</v>
      </c>
      <c r="J59" s="53">
        <v>142789</v>
      </c>
      <c r="K59" s="53"/>
      <c r="L59" s="53"/>
      <c r="M59" s="53"/>
      <c r="N59" s="53"/>
      <c r="O59" s="47"/>
      <c r="P59" s="115"/>
      <c r="Q59" s="47"/>
      <c r="R59" s="115"/>
      <c r="S59" s="115"/>
      <c r="T59" s="115">
        <v>0</v>
      </c>
      <c r="U59" s="115">
        <f>84179+34753</f>
        <v>118932</v>
      </c>
      <c r="V59" s="210">
        <f>93305+17005</f>
        <v>110310</v>
      </c>
      <c r="W59" s="53"/>
      <c r="X59" s="53"/>
      <c r="Y59" s="53"/>
      <c r="Z59" s="53"/>
      <c r="AA59" s="53"/>
      <c r="AB59" s="53"/>
      <c r="AC59" s="53"/>
      <c r="AD59" s="47"/>
      <c r="AE59" s="53"/>
      <c r="AF59" s="53"/>
      <c r="AG59" s="47"/>
      <c r="AH59" s="53">
        <f t="shared" si="18"/>
        <v>229242</v>
      </c>
      <c r="AI59" s="51"/>
      <c r="AJ59" s="219">
        <f t="shared" si="17"/>
        <v>154303</v>
      </c>
    </row>
    <row r="60" spans="1:36" s="36" customFormat="1" ht="15.75" x14ac:dyDescent="0.25">
      <c r="A60" s="223" t="s">
        <v>129</v>
      </c>
      <c r="B60" s="65" t="s">
        <v>130</v>
      </c>
      <c r="C60" s="52" t="s">
        <v>387</v>
      </c>
      <c r="D60" s="52" t="s">
        <v>402</v>
      </c>
      <c r="E60" s="52" t="s">
        <v>370</v>
      </c>
      <c r="F60" s="52">
        <v>44136</v>
      </c>
      <c r="G60" s="52">
        <v>44408</v>
      </c>
      <c r="H60" s="50">
        <f t="shared" si="16"/>
        <v>9.0365448504983377</v>
      </c>
      <c r="I60" s="182">
        <v>1809504</v>
      </c>
      <c r="J60" s="53">
        <v>272772</v>
      </c>
      <c r="K60" s="53"/>
      <c r="L60" s="53"/>
      <c r="M60" s="53"/>
      <c r="N60" s="53"/>
      <c r="O60" s="47"/>
      <c r="P60" s="115">
        <v>407476</v>
      </c>
      <c r="Q60" s="47"/>
      <c r="R60" s="115">
        <v>214131</v>
      </c>
      <c r="S60" s="115">
        <v>74131</v>
      </c>
      <c r="T60" s="115">
        <v>135778</v>
      </c>
      <c r="U60" s="115">
        <v>437831.75</v>
      </c>
      <c r="V60" s="210">
        <v>31174</v>
      </c>
      <c r="W60" s="54">
        <f>275000-79277.33</f>
        <v>195722.66999999998</v>
      </c>
      <c r="X60" s="54">
        <f>252988-79277.33</f>
        <v>173710.66999999998</v>
      </c>
      <c r="Y60" s="53"/>
      <c r="Z60" s="53"/>
      <c r="AA60" s="53"/>
      <c r="AB60" s="53"/>
      <c r="AC60" s="53"/>
      <c r="AD60" s="47"/>
      <c r="AE60" s="53"/>
      <c r="AF60" s="53"/>
      <c r="AG60" s="47"/>
      <c r="AH60" s="53">
        <f t="shared" si="18"/>
        <v>1669955.0899999999</v>
      </c>
      <c r="AI60" s="51"/>
      <c r="AJ60" s="219">
        <f t="shared" si="17"/>
        <v>139548.91000000015</v>
      </c>
    </row>
    <row r="61" spans="1:36" s="36" customFormat="1" ht="15.75" x14ac:dyDescent="0.25">
      <c r="A61" s="223" t="s">
        <v>134</v>
      </c>
      <c r="B61" s="65" t="s">
        <v>135</v>
      </c>
      <c r="C61" s="52" t="s">
        <v>387</v>
      </c>
      <c r="D61" s="52" t="s">
        <v>403</v>
      </c>
      <c r="E61" s="52" t="s">
        <v>370</v>
      </c>
      <c r="F61" s="52">
        <v>44228</v>
      </c>
      <c r="G61" s="52">
        <v>44429</v>
      </c>
      <c r="H61" s="50">
        <f t="shared" si="16"/>
        <v>6.6777408637873759</v>
      </c>
      <c r="I61" s="182">
        <v>1006579</v>
      </c>
      <c r="J61" s="53"/>
      <c r="K61" s="53"/>
      <c r="L61" s="53"/>
      <c r="M61" s="53"/>
      <c r="N61" s="53"/>
      <c r="O61" s="47"/>
      <c r="P61" s="115">
        <v>131243</v>
      </c>
      <c r="Q61" s="47"/>
      <c r="R61" s="115"/>
      <c r="S61" s="115"/>
      <c r="T61" s="115">
        <v>0</v>
      </c>
      <c r="U61" s="115"/>
      <c r="V61" s="210">
        <f>36571+46439</f>
        <v>83010</v>
      </c>
      <c r="W61" s="54">
        <f>200000+100000</f>
        <v>300000</v>
      </c>
      <c r="X61" s="54">
        <v>150362</v>
      </c>
      <c r="Y61" s="54">
        <v>124974</v>
      </c>
      <c r="Z61" s="53"/>
      <c r="AA61" s="53"/>
      <c r="AB61" s="53"/>
      <c r="AC61" s="53"/>
      <c r="AD61" s="47"/>
      <c r="AE61" s="53"/>
      <c r="AF61" s="53"/>
      <c r="AG61" s="47"/>
      <c r="AH61" s="53">
        <f t="shared" si="18"/>
        <v>789589</v>
      </c>
      <c r="AI61" s="51"/>
      <c r="AJ61" s="219">
        <f t="shared" si="17"/>
        <v>216990</v>
      </c>
    </row>
    <row r="62" spans="1:36" s="36" customFormat="1" ht="15.75" x14ac:dyDescent="0.25">
      <c r="A62" s="223" t="s">
        <v>139</v>
      </c>
      <c r="B62" s="65" t="s">
        <v>140</v>
      </c>
      <c r="C62" s="52" t="s">
        <v>387</v>
      </c>
      <c r="D62" s="87" t="s">
        <v>45</v>
      </c>
      <c r="E62" s="52" t="s">
        <v>370</v>
      </c>
      <c r="F62" s="52">
        <v>44224</v>
      </c>
      <c r="G62" s="52">
        <v>44464</v>
      </c>
      <c r="H62" s="50">
        <f t="shared" si="16"/>
        <v>7.9734219269102988</v>
      </c>
      <c r="I62" s="182">
        <v>1639962</v>
      </c>
      <c r="J62" s="53"/>
      <c r="K62" s="53"/>
      <c r="L62" s="53"/>
      <c r="M62" s="53"/>
      <c r="N62" s="53"/>
      <c r="O62" s="47"/>
      <c r="P62" s="115">
        <v>103605</v>
      </c>
      <c r="Q62" s="47"/>
      <c r="R62" s="115"/>
      <c r="S62" s="115">
        <v>71204</v>
      </c>
      <c r="T62" s="115">
        <v>158532</v>
      </c>
      <c r="U62" s="115">
        <v>124183.45</v>
      </c>
      <c r="V62" s="115">
        <f>236910+83209</f>
        <v>320119</v>
      </c>
      <c r="W62" s="54">
        <f>250000+37500</f>
        <v>287500</v>
      </c>
      <c r="X62" s="54">
        <f>241468+817</f>
        <v>242285</v>
      </c>
      <c r="Y62" s="54">
        <v>200000</v>
      </c>
      <c r="Z62" s="54">
        <v>165153</v>
      </c>
      <c r="AA62" s="53"/>
      <c r="AB62" s="53"/>
      <c r="AC62" s="53"/>
      <c r="AD62" s="47"/>
      <c r="AE62" s="53"/>
      <c r="AF62" s="53"/>
      <c r="AG62" s="47"/>
      <c r="AH62" s="53">
        <f t="shared" si="18"/>
        <v>1672581.45</v>
      </c>
      <c r="AI62" s="51"/>
      <c r="AJ62" s="55">
        <f t="shared" si="17"/>
        <v>-32619.449999999953</v>
      </c>
    </row>
    <row r="63" spans="1:36" s="36" customFormat="1" ht="15.75" x14ac:dyDescent="0.25">
      <c r="A63" s="64" t="s">
        <v>143</v>
      </c>
      <c r="B63" s="65" t="s">
        <v>145</v>
      </c>
      <c r="C63" s="52" t="s">
        <v>387</v>
      </c>
      <c r="D63" s="87" t="s">
        <v>389</v>
      </c>
      <c r="E63" s="52" t="s">
        <v>320</v>
      </c>
      <c r="F63" s="52">
        <v>44461</v>
      </c>
      <c r="G63" s="52">
        <v>44701</v>
      </c>
      <c r="H63" s="50">
        <f t="shared" si="16"/>
        <v>7.9734219269102988</v>
      </c>
      <c r="I63" s="53">
        <v>600000</v>
      </c>
      <c r="J63" s="53">
        <v>1339023</v>
      </c>
      <c r="K63" s="53"/>
      <c r="L63" s="53"/>
      <c r="M63" s="53"/>
      <c r="N63" s="53"/>
      <c r="O63" s="47"/>
      <c r="P63" s="115"/>
      <c r="Q63" s="47"/>
      <c r="R63" s="115"/>
      <c r="S63" s="115"/>
      <c r="T63" s="115">
        <v>0</v>
      </c>
      <c r="U63" s="115"/>
      <c r="V63" s="115"/>
      <c r="W63" s="58"/>
      <c r="X63" s="58"/>
      <c r="Y63" s="54">
        <v>150000</v>
      </c>
      <c r="Z63" s="54">
        <v>150000</v>
      </c>
      <c r="AA63" s="54">
        <v>150000</v>
      </c>
      <c r="AB63" s="54">
        <v>150000</v>
      </c>
      <c r="AC63" s="58"/>
      <c r="AD63" s="47"/>
      <c r="AE63" s="53"/>
      <c r="AF63" s="53"/>
      <c r="AG63" s="47"/>
      <c r="AH63" s="53">
        <f t="shared" si="18"/>
        <v>600000</v>
      </c>
      <c r="AI63" s="51"/>
      <c r="AJ63" s="55">
        <f t="shared" si="17"/>
        <v>0</v>
      </c>
    </row>
    <row r="64" spans="1:36" s="36" customFormat="1" ht="15.75" x14ac:dyDescent="0.25">
      <c r="A64" s="64" t="s">
        <v>147</v>
      </c>
      <c r="B64" s="65" t="s">
        <v>423</v>
      </c>
      <c r="C64" s="52" t="s">
        <v>387</v>
      </c>
      <c r="D64" s="87" t="s">
        <v>45</v>
      </c>
      <c r="E64" s="52" t="s">
        <v>320</v>
      </c>
      <c r="F64" s="52">
        <v>44461</v>
      </c>
      <c r="G64" s="52">
        <v>44701</v>
      </c>
      <c r="H64" s="50">
        <f>((G64-F64)/7)/4.3</f>
        <v>7.9734219269102988</v>
      </c>
      <c r="I64" s="53">
        <v>750000</v>
      </c>
      <c r="J64" s="53"/>
      <c r="K64" s="53"/>
      <c r="L64" s="53"/>
      <c r="M64" s="53"/>
      <c r="N64" s="53"/>
      <c r="O64" s="47"/>
      <c r="P64" s="115"/>
      <c r="Q64" s="47"/>
      <c r="R64" s="115"/>
      <c r="S64" s="115"/>
      <c r="T64" s="115"/>
      <c r="U64" s="115"/>
      <c r="V64" s="115"/>
      <c r="W64" s="89"/>
      <c r="X64" s="89"/>
      <c r="Y64" s="54">
        <v>150000</v>
      </c>
      <c r="Z64" s="54">
        <v>150000</v>
      </c>
      <c r="AA64" s="54">
        <v>150000</v>
      </c>
      <c r="AB64" s="54">
        <v>150000</v>
      </c>
      <c r="AC64" s="54">
        <v>150000</v>
      </c>
      <c r="AD64" s="47"/>
      <c r="AE64" s="54"/>
      <c r="AF64" s="53"/>
      <c r="AG64" s="47"/>
      <c r="AH64" s="53">
        <f>SUM(P64:AG64)</f>
        <v>750000</v>
      </c>
      <c r="AI64" s="51"/>
      <c r="AJ64" s="55">
        <f t="shared" si="17"/>
        <v>0</v>
      </c>
    </row>
    <row r="65" spans="1:36" s="36" customFormat="1" ht="15.75" x14ac:dyDescent="0.25">
      <c r="A65" s="64" t="s">
        <v>150</v>
      </c>
      <c r="B65" s="65" t="s">
        <v>151</v>
      </c>
      <c r="C65" s="52" t="s">
        <v>387</v>
      </c>
      <c r="D65" s="87" t="s">
        <v>45</v>
      </c>
      <c r="E65" s="52" t="s">
        <v>320</v>
      </c>
      <c r="F65" s="52">
        <v>44461</v>
      </c>
      <c r="G65" s="52">
        <v>44701</v>
      </c>
      <c r="H65" s="50">
        <f t="shared" si="16"/>
        <v>7.9734219269102988</v>
      </c>
      <c r="I65" s="53">
        <v>1736318</v>
      </c>
      <c r="J65" s="53"/>
      <c r="K65" s="53"/>
      <c r="L65" s="53"/>
      <c r="M65" s="53"/>
      <c r="N65" s="53"/>
      <c r="O65" s="47"/>
      <c r="P65" s="115"/>
      <c r="Q65" s="47"/>
      <c r="R65" s="115"/>
      <c r="S65" s="115"/>
      <c r="T65" s="115"/>
      <c r="U65" s="115"/>
      <c r="V65" s="115"/>
      <c r="W65" s="54">
        <v>100000</v>
      </c>
      <c r="X65" s="54">
        <v>150000</v>
      </c>
      <c r="Y65" s="54">
        <v>175000</v>
      </c>
      <c r="Z65" s="54">
        <v>200000</v>
      </c>
      <c r="AA65" s="54">
        <v>200000</v>
      </c>
      <c r="AB65" s="54">
        <v>200000</v>
      </c>
      <c r="AC65" s="54">
        <v>200000</v>
      </c>
      <c r="AD65" s="47"/>
      <c r="AE65" s="54">
        <v>511318</v>
      </c>
      <c r="AF65" s="53"/>
      <c r="AG65" s="47"/>
      <c r="AH65" s="53">
        <f t="shared" si="18"/>
        <v>1736318</v>
      </c>
      <c r="AI65" s="51"/>
      <c r="AJ65" s="55">
        <f t="shared" si="17"/>
        <v>0</v>
      </c>
    </row>
    <row r="66" spans="1:36" s="36" customFormat="1" ht="15.75" x14ac:dyDescent="0.25">
      <c r="A66" s="64" t="s">
        <v>153</v>
      </c>
      <c r="B66" s="65" t="s">
        <v>424</v>
      </c>
      <c r="C66" s="52" t="s">
        <v>387</v>
      </c>
      <c r="D66" s="87" t="s">
        <v>45</v>
      </c>
      <c r="E66" s="52" t="s">
        <v>320</v>
      </c>
      <c r="F66" s="52">
        <v>44461</v>
      </c>
      <c r="G66" s="52">
        <v>44701</v>
      </c>
      <c r="H66" s="50">
        <f t="shared" si="16"/>
        <v>7.9734219269102988</v>
      </c>
      <c r="I66" s="53">
        <v>376000</v>
      </c>
      <c r="J66" s="53"/>
      <c r="K66" s="53"/>
      <c r="L66" s="53"/>
      <c r="M66" s="53"/>
      <c r="N66" s="53"/>
      <c r="O66" s="47"/>
      <c r="P66" s="115"/>
      <c r="Q66" s="47"/>
      <c r="R66" s="115"/>
      <c r="S66" s="115"/>
      <c r="T66" s="115"/>
      <c r="U66" s="115"/>
      <c r="V66" s="115"/>
      <c r="W66" s="89"/>
      <c r="X66" s="89"/>
      <c r="Y66" s="54">
        <v>50000</v>
      </c>
      <c r="Z66" s="54">
        <v>75000</v>
      </c>
      <c r="AA66" s="54">
        <v>75000</v>
      </c>
      <c r="AB66" s="54">
        <v>75000</v>
      </c>
      <c r="AC66" s="54">
        <v>75000</v>
      </c>
      <c r="AD66" s="47">
        <v>0</v>
      </c>
      <c r="AE66" s="54">
        <v>26000</v>
      </c>
      <c r="AF66" s="53"/>
      <c r="AG66" s="47"/>
      <c r="AH66" s="53">
        <f t="shared" si="18"/>
        <v>376000</v>
      </c>
      <c r="AI66" s="51"/>
      <c r="AJ66" s="55">
        <f t="shared" si="17"/>
        <v>0</v>
      </c>
    </row>
    <row r="67" spans="1:36" s="36" customFormat="1" ht="15.75" x14ac:dyDescent="0.25">
      <c r="A67" s="64" t="s">
        <v>425</v>
      </c>
      <c r="B67" s="65" t="s">
        <v>426</v>
      </c>
      <c r="C67" s="52" t="s">
        <v>387</v>
      </c>
      <c r="D67" s="87" t="s">
        <v>45</v>
      </c>
      <c r="E67" s="52" t="s">
        <v>320</v>
      </c>
      <c r="F67" s="52">
        <v>44461</v>
      </c>
      <c r="G67" s="52">
        <v>44701</v>
      </c>
      <c r="H67" s="50">
        <f t="shared" si="16"/>
        <v>7.9734219269102988</v>
      </c>
      <c r="I67" s="53">
        <v>376000</v>
      </c>
      <c r="J67" s="53"/>
      <c r="K67" s="53"/>
      <c r="L67" s="53"/>
      <c r="M67" s="53"/>
      <c r="N67" s="53"/>
      <c r="O67" s="47"/>
      <c r="P67" s="115"/>
      <c r="Q67" s="47"/>
      <c r="R67" s="115"/>
      <c r="S67" s="115"/>
      <c r="T67" s="115"/>
      <c r="U67" s="115"/>
      <c r="V67" s="115"/>
      <c r="W67" s="89"/>
      <c r="X67" s="89"/>
      <c r="Y67" s="54">
        <v>50000</v>
      </c>
      <c r="Z67" s="54">
        <v>75000</v>
      </c>
      <c r="AA67" s="54">
        <v>75000</v>
      </c>
      <c r="AB67" s="54">
        <v>75000</v>
      </c>
      <c r="AC67" s="54">
        <v>75000</v>
      </c>
      <c r="AD67" s="47"/>
      <c r="AE67" s="54">
        <v>26000</v>
      </c>
      <c r="AF67" s="53"/>
      <c r="AG67" s="47"/>
      <c r="AH67" s="53">
        <f t="shared" si="18"/>
        <v>376000</v>
      </c>
      <c r="AI67" s="51"/>
      <c r="AJ67" s="55">
        <f t="shared" si="17"/>
        <v>0</v>
      </c>
    </row>
    <row r="68" spans="1:36" s="36" customFormat="1" ht="15.75" x14ac:dyDescent="0.25">
      <c r="A68" s="64" t="s">
        <v>156</v>
      </c>
      <c r="B68" s="65" t="s">
        <v>427</v>
      </c>
      <c r="C68" s="52" t="s">
        <v>387</v>
      </c>
      <c r="D68" s="87" t="s">
        <v>45</v>
      </c>
      <c r="E68" s="52" t="s">
        <v>320</v>
      </c>
      <c r="F68" s="52">
        <v>44461</v>
      </c>
      <c r="G68" s="52">
        <v>44762</v>
      </c>
      <c r="H68" s="50">
        <f t="shared" si="16"/>
        <v>10</v>
      </c>
      <c r="I68" s="53">
        <v>1700000</v>
      </c>
      <c r="J68" s="53"/>
      <c r="K68" s="53"/>
      <c r="L68" s="53"/>
      <c r="M68" s="53"/>
      <c r="N68" s="53"/>
      <c r="O68" s="47"/>
      <c r="P68" s="115"/>
      <c r="Q68" s="47"/>
      <c r="R68" s="115"/>
      <c r="S68" s="115"/>
      <c r="T68" s="115"/>
      <c r="U68" s="115"/>
      <c r="V68" s="115"/>
      <c r="W68" s="89"/>
      <c r="X68" s="89"/>
      <c r="Y68" s="54">
        <v>75000</v>
      </c>
      <c r="Z68" s="54">
        <v>125000</v>
      </c>
      <c r="AA68" s="54">
        <v>200000</v>
      </c>
      <c r="AB68" s="54">
        <v>200000</v>
      </c>
      <c r="AC68" s="54">
        <v>200000</v>
      </c>
      <c r="AD68" s="47"/>
      <c r="AE68" s="54">
        <v>900000</v>
      </c>
      <c r="AF68" s="53"/>
      <c r="AG68" s="47"/>
      <c r="AH68" s="53">
        <f t="shared" si="18"/>
        <v>1700000</v>
      </c>
      <c r="AI68" s="51"/>
      <c r="AJ68" s="55">
        <f t="shared" si="17"/>
        <v>0</v>
      </c>
    </row>
    <row r="69" spans="1:36" s="36" customFormat="1" ht="15.75" x14ac:dyDescent="0.25">
      <c r="A69" s="64" t="s">
        <v>159</v>
      </c>
      <c r="B69" s="65" t="s">
        <v>428</v>
      </c>
      <c r="C69" s="52" t="s">
        <v>387</v>
      </c>
      <c r="D69" s="87" t="s">
        <v>45</v>
      </c>
      <c r="E69" s="52" t="s">
        <v>320</v>
      </c>
      <c r="F69" s="52">
        <v>44461</v>
      </c>
      <c r="G69" s="52">
        <v>44701</v>
      </c>
      <c r="H69" s="50">
        <f t="shared" si="16"/>
        <v>7.9734219269102988</v>
      </c>
      <c r="I69" s="53">
        <v>225000</v>
      </c>
      <c r="J69" s="53"/>
      <c r="K69" s="53"/>
      <c r="L69" s="53"/>
      <c r="M69" s="53"/>
      <c r="N69" s="53"/>
      <c r="O69" s="47"/>
      <c r="P69" s="115"/>
      <c r="Q69" s="47"/>
      <c r="R69" s="115"/>
      <c r="S69" s="115"/>
      <c r="T69" s="115"/>
      <c r="U69" s="115"/>
      <c r="V69" s="115"/>
      <c r="W69" s="89"/>
      <c r="X69" s="89"/>
      <c r="Y69" s="58"/>
      <c r="Z69" s="54">
        <v>50000</v>
      </c>
      <c r="AA69" s="54">
        <v>50000</v>
      </c>
      <c r="AB69" s="54">
        <v>50000</v>
      </c>
      <c r="AC69" s="54">
        <v>50000</v>
      </c>
      <c r="AD69" s="47"/>
      <c r="AE69" s="54">
        <v>25000</v>
      </c>
      <c r="AF69" s="53"/>
      <c r="AG69" s="47"/>
      <c r="AH69" s="53">
        <f t="shared" si="18"/>
        <v>225000</v>
      </c>
      <c r="AI69" s="51"/>
      <c r="AJ69" s="55">
        <f t="shared" si="17"/>
        <v>0</v>
      </c>
    </row>
    <row r="70" spans="1:36" s="36" customFormat="1" ht="15.75" x14ac:dyDescent="0.25">
      <c r="A70" s="34" t="s">
        <v>226</v>
      </c>
      <c r="B70" s="35" t="s">
        <v>442</v>
      </c>
      <c r="C70" s="52" t="s">
        <v>45</v>
      </c>
      <c r="D70" s="52" t="s">
        <v>45</v>
      </c>
      <c r="E70" s="52" t="s">
        <v>320</v>
      </c>
      <c r="F70" s="52">
        <v>44436</v>
      </c>
      <c r="G70" s="52">
        <v>44616</v>
      </c>
      <c r="H70" s="50"/>
      <c r="I70" s="53">
        <v>2000000</v>
      </c>
      <c r="J70" s="53"/>
      <c r="K70" s="53"/>
      <c r="L70" s="53"/>
      <c r="M70" s="53"/>
      <c r="N70" s="53"/>
      <c r="O70" s="47"/>
      <c r="P70" s="115"/>
      <c r="Q70" s="47"/>
      <c r="R70" s="115"/>
      <c r="S70" s="115"/>
      <c r="T70" s="115"/>
      <c r="U70" s="115"/>
      <c r="V70" s="115">
        <v>105517</v>
      </c>
      <c r="W70" s="58"/>
      <c r="X70" s="58"/>
      <c r="Y70" s="58"/>
      <c r="Z70" s="58"/>
      <c r="AA70" s="58"/>
      <c r="AB70" s="58"/>
      <c r="AC70" s="58"/>
      <c r="AD70" s="47"/>
      <c r="AE70" s="54">
        <v>2000000</v>
      </c>
      <c r="AF70" s="53"/>
      <c r="AG70" s="47"/>
      <c r="AH70" s="53">
        <f>SUM(P70:AG70)</f>
        <v>2105517</v>
      </c>
      <c r="AI70" s="51"/>
      <c r="AJ70" s="55">
        <f>I70-AH70</f>
        <v>-105517</v>
      </c>
    </row>
    <row r="71" spans="1:36" s="36" customFormat="1" ht="15.75" x14ac:dyDescent="0.25">
      <c r="A71" s="97"/>
      <c r="B71" s="98"/>
      <c r="C71" s="91"/>
      <c r="D71" s="91"/>
      <c r="E71" s="91"/>
      <c r="F71" s="91"/>
      <c r="G71" s="91"/>
      <c r="H71" s="92"/>
      <c r="I71" s="59">
        <f>SUM(I55:I70)</f>
        <v>14688604</v>
      </c>
      <c r="J71" s="59"/>
      <c r="K71" s="59"/>
      <c r="L71" s="59"/>
      <c r="M71" s="59"/>
      <c r="N71" s="59"/>
      <c r="O71" s="47"/>
      <c r="P71" s="59">
        <f>SUM(P55:P70)</f>
        <v>2120539</v>
      </c>
      <c r="Q71" s="47"/>
      <c r="R71" s="59">
        <f>SUM(R55:R70)</f>
        <v>434148</v>
      </c>
      <c r="S71" s="59">
        <f t="shared" ref="S71:AE71" si="19">SUM(S55:S70)</f>
        <v>225080</v>
      </c>
      <c r="T71" s="59">
        <f t="shared" si="19"/>
        <v>600062</v>
      </c>
      <c r="U71" s="59">
        <f t="shared" si="19"/>
        <v>685511.19</v>
      </c>
      <c r="V71" s="59">
        <f t="shared" si="19"/>
        <v>650130</v>
      </c>
      <c r="W71" s="59">
        <f t="shared" si="19"/>
        <v>883222.66999999993</v>
      </c>
      <c r="X71" s="59">
        <f t="shared" si="19"/>
        <v>716357.66999999993</v>
      </c>
      <c r="Y71" s="59">
        <f t="shared" si="19"/>
        <v>974974</v>
      </c>
      <c r="Z71" s="59">
        <f t="shared" si="19"/>
        <v>990153</v>
      </c>
      <c r="AA71" s="59">
        <f t="shared" si="19"/>
        <v>900000</v>
      </c>
      <c r="AB71" s="59">
        <f t="shared" si="19"/>
        <v>900000</v>
      </c>
      <c r="AC71" s="59">
        <f t="shared" si="19"/>
        <v>750000</v>
      </c>
      <c r="AD71" s="47"/>
      <c r="AE71" s="59">
        <f t="shared" si="19"/>
        <v>3488318</v>
      </c>
      <c r="AF71" s="59">
        <f>SUM(AF55:AF70)</f>
        <v>0</v>
      </c>
      <c r="AG71" s="47"/>
      <c r="AH71" s="53">
        <f t="shared" si="18"/>
        <v>14318495.529999999</v>
      </c>
      <c r="AI71" s="51"/>
      <c r="AJ71" s="217">
        <f>I71-AH71</f>
        <v>370108.47000000067</v>
      </c>
    </row>
    <row r="72" spans="1:36" s="36" customFormat="1" ht="15.75" x14ac:dyDescent="0.25">
      <c r="A72" s="106" t="s">
        <v>73</v>
      </c>
      <c r="B72" s="107"/>
      <c r="C72" s="101" t="s">
        <v>45</v>
      </c>
      <c r="D72" s="102"/>
      <c r="E72" s="102"/>
      <c r="F72" s="102"/>
      <c r="G72" s="102"/>
      <c r="H72" s="84"/>
      <c r="I72" s="193"/>
      <c r="J72" s="103"/>
      <c r="K72" s="103"/>
      <c r="L72" s="103"/>
      <c r="M72" s="103"/>
      <c r="N72" s="103"/>
      <c r="O72" s="47"/>
      <c r="P72" s="85"/>
      <c r="Q72" s="47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47"/>
      <c r="AE72" s="103"/>
      <c r="AF72" s="103"/>
      <c r="AG72" s="47"/>
      <c r="AH72" s="85"/>
      <c r="AI72" s="51"/>
      <c r="AJ72" s="55"/>
    </row>
    <row r="73" spans="1:36" s="36" customFormat="1" ht="15.75" x14ac:dyDescent="0.25">
      <c r="A73" s="60" t="s">
        <v>430</v>
      </c>
      <c r="B73" s="61" t="s">
        <v>431</v>
      </c>
      <c r="C73" s="52" t="s">
        <v>45</v>
      </c>
      <c r="D73" s="52" t="s">
        <v>45</v>
      </c>
      <c r="E73" s="52" t="s">
        <v>320</v>
      </c>
      <c r="F73" s="52"/>
      <c r="G73" s="52"/>
      <c r="H73" s="50"/>
      <c r="I73" s="53">
        <v>61092</v>
      </c>
      <c r="J73" s="53"/>
      <c r="K73" s="53"/>
      <c r="L73" s="53"/>
      <c r="M73" s="53"/>
      <c r="N73" s="53"/>
      <c r="O73" s="47"/>
      <c r="P73" s="115">
        <v>61092</v>
      </c>
      <c r="Q73" s="47"/>
      <c r="R73" s="115"/>
      <c r="S73" s="115"/>
      <c r="T73" s="115"/>
      <c r="U73" s="115">
        <v>73311</v>
      </c>
      <c r="V73" s="115">
        <v>0</v>
      </c>
      <c r="W73" s="58"/>
      <c r="X73" s="58"/>
      <c r="Y73" s="58"/>
      <c r="Z73" s="58"/>
      <c r="AA73" s="58"/>
      <c r="AB73" s="58"/>
      <c r="AC73" s="58"/>
      <c r="AD73" s="47"/>
      <c r="AE73" s="58"/>
      <c r="AF73" s="53"/>
      <c r="AG73" s="47"/>
      <c r="AH73" s="53">
        <f t="shared" si="18"/>
        <v>134403</v>
      </c>
      <c r="AI73" s="51"/>
      <c r="AJ73" s="55">
        <f>I73-AH73</f>
        <v>-73311</v>
      </c>
    </row>
    <row r="74" spans="1:36" s="36" customFormat="1" ht="15.75" x14ac:dyDescent="0.25">
      <c r="A74" s="60" t="s">
        <v>432</v>
      </c>
      <c r="B74" s="61" t="s">
        <v>433</v>
      </c>
      <c r="C74" s="52" t="s">
        <v>45</v>
      </c>
      <c r="D74" s="52" t="s">
        <v>45</v>
      </c>
      <c r="E74" s="52" t="s">
        <v>320</v>
      </c>
      <c r="F74" s="52"/>
      <c r="G74" s="52"/>
      <c r="H74" s="50"/>
      <c r="I74" s="53">
        <v>61092</v>
      </c>
      <c r="J74" s="53"/>
      <c r="K74" s="53"/>
      <c r="L74" s="53"/>
      <c r="M74" s="53"/>
      <c r="N74" s="53"/>
      <c r="O74" s="47"/>
      <c r="P74" s="115">
        <v>61092</v>
      </c>
      <c r="Q74" s="47"/>
      <c r="R74" s="115"/>
      <c r="S74" s="115"/>
      <c r="T74" s="115"/>
      <c r="U74" s="115">
        <v>73311</v>
      </c>
      <c r="V74" s="115">
        <v>0</v>
      </c>
      <c r="W74" s="58"/>
      <c r="X74" s="58"/>
      <c r="Y74" s="58"/>
      <c r="Z74" s="58"/>
      <c r="AA74" s="58"/>
      <c r="AB74" s="58"/>
      <c r="AC74" s="58"/>
      <c r="AD74" s="47"/>
      <c r="AE74" s="58"/>
      <c r="AF74" s="53"/>
      <c r="AG74" s="47"/>
      <c r="AH74" s="53">
        <f t="shared" si="18"/>
        <v>134403</v>
      </c>
      <c r="AI74" s="51"/>
      <c r="AJ74" s="55">
        <f>I74-AH74</f>
        <v>-73311</v>
      </c>
    </row>
    <row r="75" spans="1:36" s="36" customFormat="1" ht="15.75" x14ac:dyDescent="0.25">
      <c r="A75" s="60" t="s">
        <v>161</v>
      </c>
      <c r="B75" s="61" t="s">
        <v>163</v>
      </c>
      <c r="C75" s="52" t="s">
        <v>45</v>
      </c>
      <c r="D75" s="52" t="s">
        <v>45</v>
      </c>
      <c r="E75" s="52" t="s">
        <v>320</v>
      </c>
      <c r="F75" s="52" t="s">
        <v>165</v>
      </c>
      <c r="G75" s="52" t="s">
        <v>165</v>
      </c>
      <c r="H75" s="50" t="s">
        <v>165</v>
      </c>
      <c r="I75" s="86" t="s">
        <v>165</v>
      </c>
      <c r="J75" s="53"/>
      <c r="K75" s="53"/>
      <c r="L75" s="53"/>
      <c r="M75" s="53"/>
      <c r="N75" s="53"/>
      <c r="O75" s="47"/>
      <c r="P75" s="115"/>
      <c r="Q75" s="47"/>
      <c r="R75" s="115"/>
      <c r="S75" s="115"/>
      <c r="T75" s="115"/>
      <c r="U75" s="115">
        <v>0</v>
      </c>
      <c r="V75" s="115">
        <v>0</v>
      </c>
      <c r="W75" s="58"/>
      <c r="X75" s="58"/>
      <c r="Y75" s="58"/>
      <c r="Z75" s="58"/>
      <c r="AA75" s="58"/>
      <c r="AB75" s="58"/>
      <c r="AC75" s="58"/>
      <c r="AD75" s="47"/>
      <c r="AE75" s="58"/>
      <c r="AF75" s="53"/>
      <c r="AG75" s="47"/>
      <c r="AH75" s="53">
        <f t="shared" si="18"/>
        <v>0</v>
      </c>
      <c r="AI75" s="51"/>
      <c r="AJ75" s="124" t="s">
        <v>165</v>
      </c>
    </row>
    <row r="76" spans="1:36" s="36" customFormat="1" ht="15.75" x14ac:dyDescent="0.25">
      <c r="A76" s="34" t="s">
        <v>170</v>
      </c>
      <c r="B76" s="35" t="s">
        <v>171</v>
      </c>
      <c r="C76" s="52" t="s">
        <v>45</v>
      </c>
      <c r="D76" s="52" t="s">
        <v>371</v>
      </c>
      <c r="E76" s="52" t="s">
        <v>320</v>
      </c>
      <c r="F76" s="52">
        <v>44319</v>
      </c>
      <c r="G76" s="52">
        <v>44559</v>
      </c>
      <c r="H76" s="50">
        <f>((G76-F76)/7)/4.3</f>
        <v>7.9734219269102988</v>
      </c>
      <c r="I76" s="182">
        <v>975000</v>
      </c>
      <c r="J76" s="53"/>
      <c r="K76" s="53"/>
      <c r="L76" s="53"/>
      <c r="M76" s="53"/>
      <c r="N76" s="53"/>
      <c r="O76" s="47"/>
      <c r="P76" s="115"/>
      <c r="Q76" s="47"/>
      <c r="R76" s="115"/>
      <c r="S76" s="115"/>
      <c r="T76" s="115">
        <v>0</v>
      </c>
      <c r="U76" s="115">
        <v>0</v>
      </c>
      <c r="V76" s="210">
        <v>0</v>
      </c>
      <c r="W76" s="54">
        <v>125000</v>
      </c>
      <c r="X76" s="54">
        <v>150000</v>
      </c>
      <c r="Y76" s="54">
        <v>150000</v>
      </c>
      <c r="Z76" s="54">
        <v>150000</v>
      </c>
      <c r="AA76" s="54">
        <v>150000</v>
      </c>
      <c r="AB76" s="54">
        <v>150000</v>
      </c>
      <c r="AC76" s="54"/>
      <c r="AD76" s="47"/>
      <c r="AE76" s="53"/>
      <c r="AF76" s="53"/>
      <c r="AG76" s="47"/>
      <c r="AH76" s="53">
        <f>SUM(P76:AG76)</f>
        <v>875000</v>
      </c>
      <c r="AI76" s="51"/>
      <c r="AJ76" s="219">
        <f>I76-AH76</f>
        <v>100000</v>
      </c>
    </row>
    <row r="77" spans="1:36" s="36" customFormat="1" ht="15.75" x14ac:dyDescent="0.25">
      <c r="A77" s="64" t="s">
        <v>434</v>
      </c>
      <c r="B77" s="65" t="s">
        <v>435</v>
      </c>
      <c r="C77" s="52" t="s">
        <v>45</v>
      </c>
      <c r="D77" s="52" t="s">
        <v>45</v>
      </c>
      <c r="E77" s="52" t="s">
        <v>320</v>
      </c>
      <c r="F77" s="52" t="s">
        <v>319</v>
      </c>
      <c r="G77" s="52" t="s">
        <v>319</v>
      </c>
      <c r="H77" s="50"/>
      <c r="I77" s="189">
        <v>461956</v>
      </c>
      <c r="J77" s="53"/>
      <c r="K77" s="53"/>
      <c r="L77" s="53"/>
      <c r="M77" s="53"/>
      <c r="N77" s="53"/>
      <c r="O77" s="47"/>
      <c r="P77" s="115"/>
      <c r="Q77" s="47"/>
      <c r="R77" s="115">
        <v>353138</v>
      </c>
      <c r="S77" s="115">
        <v>108818</v>
      </c>
      <c r="T77" s="115"/>
      <c r="U77" s="115">
        <v>0</v>
      </c>
      <c r="V77" s="115">
        <v>0</v>
      </c>
      <c r="W77" s="53"/>
      <c r="X77" s="53"/>
      <c r="Y77" s="53"/>
      <c r="Z77" s="53"/>
      <c r="AA77" s="53"/>
      <c r="AB77" s="53"/>
      <c r="AC77" s="53"/>
      <c r="AD77" s="47"/>
      <c r="AE77" s="53"/>
      <c r="AF77" s="53"/>
      <c r="AG77" s="47"/>
      <c r="AH77" s="53">
        <f>SUM(P77:AG77)</f>
        <v>461956</v>
      </c>
      <c r="AI77" s="51"/>
      <c r="AJ77" s="55">
        <f>I77-AH77</f>
        <v>0</v>
      </c>
    </row>
    <row r="78" spans="1:36" s="36" customFormat="1" ht="15.75" x14ac:dyDescent="0.25">
      <c r="A78" s="62" t="s">
        <v>180</v>
      </c>
      <c r="B78" s="63" t="s">
        <v>182</v>
      </c>
      <c r="C78" s="52" t="s">
        <v>45</v>
      </c>
      <c r="D78" s="52" t="s">
        <v>45</v>
      </c>
      <c r="E78" s="52" t="s">
        <v>320</v>
      </c>
      <c r="F78" s="52">
        <v>44371</v>
      </c>
      <c r="G78" s="52">
        <v>44431</v>
      </c>
      <c r="H78" s="50">
        <f t="shared" ref="H78:H84" si="20">((G78-F78)/7)/4.3</f>
        <v>1.9933554817275747</v>
      </c>
      <c r="I78" s="53">
        <v>400000</v>
      </c>
      <c r="J78" s="53"/>
      <c r="K78" s="53"/>
      <c r="L78" s="53"/>
      <c r="M78" s="53"/>
      <c r="N78" s="53"/>
      <c r="O78" s="47"/>
      <c r="P78" s="115"/>
      <c r="Q78" s="47"/>
      <c r="R78" s="115"/>
      <c r="S78" s="115"/>
      <c r="T78" s="115"/>
      <c r="U78" s="115">
        <v>0</v>
      </c>
      <c r="V78" s="210">
        <v>0</v>
      </c>
      <c r="W78" s="54">
        <v>150000</v>
      </c>
      <c r="X78" s="54">
        <v>125000</v>
      </c>
      <c r="Y78" s="53"/>
      <c r="Z78" s="53"/>
      <c r="AA78" s="53"/>
      <c r="AB78" s="53"/>
      <c r="AC78" s="53"/>
      <c r="AD78" s="47"/>
      <c r="AE78" s="53"/>
      <c r="AF78" s="53"/>
      <c r="AG78" s="47"/>
      <c r="AH78" s="53">
        <f t="shared" si="18"/>
        <v>275000</v>
      </c>
      <c r="AI78" s="51"/>
      <c r="AJ78" s="219">
        <f t="shared" ref="AJ78:AJ109" si="21">I78-AH78</f>
        <v>125000</v>
      </c>
    </row>
    <row r="79" spans="1:36" s="36" customFormat="1" ht="15.75" x14ac:dyDescent="0.25">
      <c r="A79" s="34" t="s">
        <v>325</v>
      </c>
      <c r="B79" s="35" t="s">
        <v>418</v>
      </c>
      <c r="C79" s="52" t="s">
        <v>380</v>
      </c>
      <c r="D79" s="52" t="s">
        <v>381</v>
      </c>
      <c r="E79" s="52" t="s">
        <v>320</v>
      </c>
      <c r="F79" s="52" t="s">
        <v>319</v>
      </c>
      <c r="G79" s="52" t="s">
        <v>319</v>
      </c>
      <c r="H79" s="52" t="s">
        <v>319</v>
      </c>
      <c r="I79" s="86">
        <v>15630</v>
      </c>
      <c r="J79" s="53"/>
      <c r="K79" s="53"/>
      <c r="L79" s="53"/>
      <c r="M79" s="53"/>
      <c r="N79" s="53"/>
      <c r="O79" s="47"/>
      <c r="P79" s="115"/>
      <c r="Q79" s="47"/>
      <c r="R79" s="115"/>
      <c r="S79" s="115">
        <v>15630</v>
      </c>
      <c r="T79" s="115"/>
      <c r="U79" s="115">
        <v>0</v>
      </c>
      <c r="V79" s="115">
        <v>0</v>
      </c>
      <c r="W79" s="53"/>
      <c r="X79" s="53"/>
      <c r="Y79" s="53"/>
      <c r="Z79" s="53"/>
      <c r="AA79" s="53"/>
      <c r="AB79" s="53"/>
      <c r="AC79" s="53"/>
      <c r="AD79" s="47"/>
      <c r="AE79" s="53"/>
      <c r="AF79" s="53"/>
      <c r="AG79" s="47"/>
      <c r="AH79" s="53">
        <f>SUM(P79:AG79)</f>
        <v>15630</v>
      </c>
      <c r="AI79" s="51"/>
      <c r="AJ79" s="55">
        <f>I79-AH79</f>
        <v>0</v>
      </c>
    </row>
    <row r="80" spans="1:36" s="36" customFormat="1" ht="15.75" x14ac:dyDescent="0.25">
      <c r="A80" s="34" t="s">
        <v>328</v>
      </c>
      <c r="B80" s="35" t="s">
        <v>419</v>
      </c>
      <c r="C80" s="52" t="s">
        <v>380</v>
      </c>
      <c r="D80" s="52" t="s">
        <v>381</v>
      </c>
      <c r="E80" s="52" t="s">
        <v>320</v>
      </c>
      <c r="F80" s="52" t="s">
        <v>319</v>
      </c>
      <c r="G80" s="52" t="s">
        <v>319</v>
      </c>
      <c r="H80" s="52" t="s">
        <v>319</v>
      </c>
      <c r="I80" s="86">
        <v>5720</v>
      </c>
      <c r="J80" s="53"/>
      <c r="K80" s="53"/>
      <c r="L80" s="53"/>
      <c r="M80" s="53"/>
      <c r="N80" s="53"/>
      <c r="O80" s="47"/>
      <c r="P80" s="115"/>
      <c r="Q80" s="47"/>
      <c r="R80" s="115"/>
      <c r="S80" s="115">
        <v>5720</v>
      </c>
      <c r="T80" s="115"/>
      <c r="U80" s="115">
        <v>0</v>
      </c>
      <c r="V80" s="115">
        <v>0</v>
      </c>
      <c r="W80" s="53"/>
      <c r="X80" s="53"/>
      <c r="Y80" s="53"/>
      <c r="Z80" s="53"/>
      <c r="AA80" s="53"/>
      <c r="AB80" s="53"/>
      <c r="AC80" s="53"/>
      <c r="AD80" s="47"/>
      <c r="AE80" s="53"/>
      <c r="AF80" s="53"/>
      <c r="AG80" s="47"/>
      <c r="AH80" s="53">
        <f>SUM(P80:AG80)</f>
        <v>5720</v>
      </c>
      <c r="AI80" s="51"/>
      <c r="AJ80" s="55">
        <f>I80-AH80</f>
        <v>0</v>
      </c>
    </row>
    <row r="81" spans="1:36" s="36" customFormat="1" ht="15.75" x14ac:dyDescent="0.25">
      <c r="A81" s="34" t="s">
        <v>185</v>
      </c>
      <c r="B81" s="35" t="s">
        <v>186</v>
      </c>
      <c r="C81" s="52" t="s">
        <v>45</v>
      </c>
      <c r="D81" s="52" t="s">
        <v>45</v>
      </c>
      <c r="E81" s="52" t="s">
        <v>320</v>
      </c>
      <c r="F81" s="52">
        <v>44372</v>
      </c>
      <c r="G81" s="52">
        <v>44673</v>
      </c>
      <c r="H81" s="50">
        <f t="shared" si="20"/>
        <v>10</v>
      </c>
      <c r="I81" s="53">
        <v>1750000</v>
      </c>
      <c r="J81" s="53"/>
      <c r="K81" s="53"/>
      <c r="L81" s="53"/>
      <c r="M81" s="53"/>
      <c r="N81" s="53"/>
      <c r="O81" s="47"/>
      <c r="P81" s="115"/>
      <c r="Q81" s="47"/>
      <c r="R81" s="115"/>
      <c r="S81" s="115"/>
      <c r="T81" s="115"/>
      <c r="U81" s="115">
        <v>233134</v>
      </c>
      <c r="V81" s="115">
        <v>0</v>
      </c>
      <c r="W81" s="54">
        <v>150000</v>
      </c>
      <c r="X81" s="54">
        <v>150000</v>
      </c>
      <c r="Y81" s="54">
        <v>150000</v>
      </c>
      <c r="Z81" s="54">
        <v>150000</v>
      </c>
      <c r="AA81" s="54">
        <v>200000</v>
      </c>
      <c r="AB81" s="54">
        <v>200000</v>
      </c>
      <c r="AC81" s="54">
        <v>200000</v>
      </c>
      <c r="AD81" s="47"/>
      <c r="AE81" s="54">
        <v>450000</v>
      </c>
      <c r="AF81" s="53"/>
      <c r="AG81" s="47"/>
      <c r="AH81" s="53">
        <f t="shared" si="18"/>
        <v>1883134</v>
      </c>
      <c r="AI81" s="51"/>
      <c r="AJ81" s="55">
        <f t="shared" si="21"/>
        <v>-133134</v>
      </c>
    </row>
    <row r="82" spans="1:36" s="36" customFormat="1" ht="15.75" x14ac:dyDescent="0.25">
      <c r="A82" s="34" t="s">
        <v>187</v>
      </c>
      <c r="B82" s="35" t="s">
        <v>188</v>
      </c>
      <c r="C82" s="52" t="s">
        <v>45</v>
      </c>
      <c r="D82" s="52" t="s">
        <v>45</v>
      </c>
      <c r="E82" s="52" t="s">
        <v>320</v>
      </c>
      <c r="F82" s="52">
        <v>44409</v>
      </c>
      <c r="G82" s="52">
        <v>44649</v>
      </c>
      <c r="H82" s="50">
        <f t="shared" si="20"/>
        <v>7.9734219269102988</v>
      </c>
      <c r="I82" s="53">
        <v>1500000</v>
      </c>
      <c r="J82" s="53"/>
      <c r="K82" s="53"/>
      <c r="L82" s="53"/>
      <c r="M82" s="53"/>
      <c r="N82" s="53"/>
      <c r="O82" s="47"/>
      <c r="P82" s="115"/>
      <c r="Q82" s="47"/>
      <c r="R82" s="115"/>
      <c r="S82" s="115"/>
      <c r="T82" s="115"/>
      <c r="U82" s="115">
        <v>0</v>
      </c>
      <c r="V82" s="115">
        <v>41062</v>
      </c>
      <c r="W82" s="58"/>
      <c r="X82" s="58"/>
      <c r="Y82" s="54">
        <v>125000</v>
      </c>
      <c r="Z82" s="54">
        <v>175000</v>
      </c>
      <c r="AA82" s="54">
        <v>200000</v>
      </c>
      <c r="AB82" s="54">
        <v>200000</v>
      </c>
      <c r="AC82" s="54">
        <v>200000</v>
      </c>
      <c r="AD82" s="47"/>
      <c r="AE82" s="54">
        <v>600000</v>
      </c>
      <c r="AF82" s="53"/>
      <c r="AG82" s="47"/>
      <c r="AH82" s="53">
        <f t="shared" si="18"/>
        <v>1541062</v>
      </c>
      <c r="AI82" s="51"/>
      <c r="AJ82" s="55">
        <f t="shared" si="21"/>
        <v>-41062</v>
      </c>
    </row>
    <row r="83" spans="1:36" s="36" customFormat="1" ht="15.75" x14ac:dyDescent="0.25">
      <c r="A83" s="34" t="s">
        <v>191</v>
      </c>
      <c r="B83" s="35" t="s">
        <v>192</v>
      </c>
      <c r="C83" s="52" t="s">
        <v>45</v>
      </c>
      <c r="D83" s="52" t="s">
        <v>45</v>
      </c>
      <c r="E83" s="52" t="s">
        <v>320</v>
      </c>
      <c r="F83" s="52">
        <v>44470</v>
      </c>
      <c r="G83" s="52">
        <v>44831</v>
      </c>
      <c r="H83" s="50">
        <f t="shared" si="20"/>
        <v>11.993355481727574</v>
      </c>
      <c r="I83" s="53">
        <v>4000000</v>
      </c>
      <c r="J83" s="53"/>
      <c r="K83" s="53"/>
      <c r="L83" s="53"/>
      <c r="M83" s="53"/>
      <c r="N83" s="53"/>
      <c r="O83" s="47"/>
      <c r="P83" s="115"/>
      <c r="Q83" s="47"/>
      <c r="R83" s="115"/>
      <c r="S83" s="115"/>
      <c r="T83" s="115"/>
      <c r="U83" s="115">
        <v>0</v>
      </c>
      <c r="V83" s="115">
        <v>0</v>
      </c>
      <c r="W83" s="58"/>
      <c r="X83" s="58"/>
      <c r="Y83" s="58"/>
      <c r="Z83" s="58"/>
      <c r="AA83" s="54">
        <v>800000</v>
      </c>
      <c r="AB83" s="54">
        <v>800000</v>
      </c>
      <c r="AC83" s="54">
        <v>800000</v>
      </c>
      <c r="AD83" s="47"/>
      <c r="AE83" s="54">
        <v>1600000</v>
      </c>
      <c r="AF83" s="53"/>
      <c r="AG83" s="47"/>
      <c r="AH83" s="53">
        <f t="shared" si="18"/>
        <v>4000000</v>
      </c>
      <c r="AI83" s="51"/>
      <c r="AJ83" s="55">
        <f t="shared" si="21"/>
        <v>0</v>
      </c>
    </row>
    <row r="84" spans="1:36" s="36" customFormat="1" ht="15.75" x14ac:dyDescent="0.25">
      <c r="A84" s="34" t="s">
        <v>194</v>
      </c>
      <c r="B84" s="35" t="s">
        <v>397</v>
      </c>
      <c r="C84" s="52" t="s">
        <v>45</v>
      </c>
      <c r="D84" s="52" t="s">
        <v>45</v>
      </c>
      <c r="E84" s="52" t="s">
        <v>320</v>
      </c>
      <c r="F84" s="52">
        <v>44403</v>
      </c>
      <c r="G84" s="52">
        <v>44704</v>
      </c>
      <c r="H84" s="50">
        <f t="shared" si="20"/>
        <v>10</v>
      </c>
      <c r="I84" s="53">
        <v>3000000</v>
      </c>
      <c r="J84" s="53"/>
      <c r="K84" s="53"/>
      <c r="L84" s="53"/>
      <c r="M84" s="53"/>
      <c r="N84" s="53"/>
      <c r="O84" s="47"/>
      <c r="P84" s="115"/>
      <c r="Q84" s="47"/>
      <c r="R84" s="115"/>
      <c r="S84" s="115"/>
      <c r="T84" s="115"/>
      <c r="U84" s="115">
        <v>0</v>
      </c>
      <c r="V84" s="115">
        <v>0</v>
      </c>
      <c r="W84" s="58"/>
      <c r="X84" s="53"/>
      <c r="Y84" s="53"/>
      <c r="Z84" s="53"/>
      <c r="AA84" s="53"/>
      <c r="AB84" s="53"/>
      <c r="AC84" s="53"/>
      <c r="AD84" s="47"/>
      <c r="AE84" s="54">
        <v>3000000</v>
      </c>
      <c r="AF84" s="53"/>
      <c r="AG84" s="47"/>
      <c r="AH84" s="53">
        <f t="shared" si="18"/>
        <v>3000000</v>
      </c>
      <c r="AI84" s="51"/>
      <c r="AJ84" s="55">
        <f t="shared" si="21"/>
        <v>0</v>
      </c>
    </row>
    <row r="85" spans="1:36" s="36" customFormat="1" ht="15.75" x14ac:dyDescent="0.25">
      <c r="A85" s="185" t="s">
        <v>197</v>
      </c>
      <c r="B85" s="186" t="s">
        <v>198</v>
      </c>
      <c r="C85" s="52" t="s">
        <v>45</v>
      </c>
      <c r="D85" s="52" t="s">
        <v>45</v>
      </c>
      <c r="E85" s="52" t="s">
        <v>320</v>
      </c>
      <c r="F85" s="52"/>
      <c r="G85" s="52"/>
      <c r="H85" s="50"/>
      <c r="I85" s="182">
        <v>500577</v>
      </c>
      <c r="J85" s="53"/>
      <c r="K85" s="53"/>
      <c r="L85" s="53"/>
      <c r="M85" s="53"/>
      <c r="N85" s="53"/>
      <c r="O85" s="47"/>
      <c r="P85" s="115"/>
      <c r="Q85" s="47"/>
      <c r="R85" s="115"/>
      <c r="S85" s="115">
        <v>17615</v>
      </c>
      <c r="T85" s="115">
        <v>71648</v>
      </c>
      <c r="U85" s="58"/>
      <c r="V85" s="58"/>
      <c r="W85" s="58"/>
      <c r="X85" s="53"/>
      <c r="Y85" s="53"/>
      <c r="Z85" s="53"/>
      <c r="AA85" s="53"/>
      <c r="AB85" s="53"/>
      <c r="AC85" s="53"/>
      <c r="AD85" s="47"/>
      <c r="AE85" s="54">
        <v>411314</v>
      </c>
      <c r="AF85" s="53"/>
      <c r="AG85" s="47"/>
      <c r="AH85" s="53">
        <f t="shared" si="18"/>
        <v>500577</v>
      </c>
      <c r="AI85" s="51"/>
      <c r="AJ85" s="55">
        <f t="shared" si="21"/>
        <v>0</v>
      </c>
    </row>
    <row r="86" spans="1:36" s="36" customFormat="1" ht="15.75" x14ac:dyDescent="0.25">
      <c r="A86" s="34" t="s">
        <v>203</v>
      </c>
      <c r="B86" s="35" t="s">
        <v>204</v>
      </c>
      <c r="C86" s="52" t="s">
        <v>45</v>
      </c>
      <c r="D86" s="52" t="s">
        <v>45</v>
      </c>
      <c r="E86" s="52" t="s">
        <v>320</v>
      </c>
      <c r="F86" s="52"/>
      <c r="G86" s="52"/>
      <c r="H86" s="50"/>
      <c r="I86" s="53">
        <v>10000000</v>
      </c>
      <c r="J86" s="53"/>
      <c r="K86" s="53"/>
      <c r="L86" s="53"/>
      <c r="M86" s="53"/>
      <c r="N86" s="53"/>
      <c r="O86" s="47"/>
      <c r="P86" s="115"/>
      <c r="Q86" s="47"/>
      <c r="R86" s="115"/>
      <c r="S86" s="115"/>
      <c r="T86" s="115"/>
      <c r="U86" s="58"/>
      <c r="V86" s="58"/>
      <c r="W86" s="58"/>
      <c r="X86" s="54">
        <v>405000</v>
      </c>
      <c r="Y86" s="54">
        <v>780000</v>
      </c>
      <c r="Z86" s="54">
        <v>1100000</v>
      </c>
      <c r="AA86" s="54">
        <v>1300000</v>
      </c>
      <c r="AB86" s="54">
        <v>1400000</v>
      </c>
      <c r="AC86" s="54">
        <v>1400000</v>
      </c>
      <c r="AD86" s="47"/>
      <c r="AE86" s="54">
        <v>3615000</v>
      </c>
      <c r="AF86" s="53"/>
      <c r="AG86" s="47"/>
      <c r="AH86" s="53">
        <f t="shared" si="18"/>
        <v>10000000</v>
      </c>
      <c r="AI86" s="51"/>
      <c r="AJ86" s="55">
        <f t="shared" si="21"/>
        <v>0</v>
      </c>
    </row>
    <row r="87" spans="1:36" s="36" customFormat="1" ht="15.75" x14ac:dyDescent="0.25">
      <c r="A87" s="34" t="s">
        <v>206</v>
      </c>
      <c r="B87" s="35" t="s">
        <v>207</v>
      </c>
      <c r="C87" s="52" t="s">
        <v>45</v>
      </c>
      <c r="D87" s="52" t="s">
        <v>45</v>
      </c>
      <c r="E87" s="52" t="s">
        <v>320</v>
      </c>
      <c r="F87" s="52"/>
      <c r="G87" s="52"/>
      <c r="H87" s="50"/>
      <c r="I87" s="53">
        <v>5000000</v>
      </c>
      <c r="J87" s="53"/>
      <c r="K87" s="53"/>
      <c r="L87" s="53"/>
      <c r="M87" s="53"/>
      <c r="N87" s="53"/>
      <c r="O87" s="47"/>
      <c r="P87" s="115"/>
      <c r="Q87" s="47"/>
      <c r="R87" s="115"/>
      <c r="S87" s="115"/>
      <c r="T87" s="115"/>
      <c r="U87" s="58"/>
      <c r="V87" s="58"/>
      <c r="W87" s="58"/>
      <c r="X87" s="53"/>
      <c r="Y87" s="53"/>
      <c r="Z87" s="53"/>
      <c r="AA87" s="53"/>
      <c r="AB87" s="53"/>
      <c r="AC87" s="53"/>
      <c r="AD87" s="47"/>
      <c r="AE87" s="54">
        <v>5000000</v>
      </c>
      <c r="AF87" s="53"/>
      <c r="AG87" s="47"/>
      <c r="AH87" s="53">
        <f t="shared" si="18"/>
        <v>5000000</v>
      </c>
      <c r="AI87" s="51"/>
      <c r="AJ87" s="55">
        <f t="shared" si="21"/>
        <v>0</v>
      </c>
    </row>
    <row r="88" spans="1:36" s="36" customFormat="1" ht="15.75" x14ac:dyDescent="0.25">
      <c r="A88" s="34" t="s">
        <v>208</v>
      </c>
      <c r="B88" s="35" t="s">
        <v>209</v>
      </c>
      <c r="C88" s="52" t="s">
        <v>45</v>
      </c>
      <c r="D88" s="52" t="s">
        <v>45</v>
      </c>
      <c r="E88" s="52" t="s">
        <v>320</v>
      </c>
      <c r="F88" s="52"/>
      <c r="G88" s="52"/>
      <c r="H88" s="50"/>
      <c r="I88" s="53">
        <v>1750000</v>
      </c>
      <c r="J88" s="53"/>
      <c r="K88" s="53"/>
      <c r="L88" s="53"/>
      <c r="M88" s="53"/>
      <c r="N88" s="53"/>
      <c r="O88" s="47"/>
      <c r="P88" s="115"/>
      <c r="Q88" s="47"/>
      <c r="R88" s="115"/>
      <c r="S88" s="115"/>
      <c r="T88" s="115"/>
      <c r="U88" s="58"/>
      <c r="V88" s="58"/>
      <c r="W88" s="58"/>
      <c r="X88" s="53"/>
      <c r="Y88" s="53"/>
      <c r="Z88" s="53"/>
      <c r="AA88" s="53"/>
      <c r="AB88" s="53"/>
      <c r="AC88" s="53"/>
      <c r="AD88" s="47"/>
      <c r="AE88" s="54">
        <v>1750000</v>
      </c>
      <c r="AF88" s="53"/>
      <c r="AG88" s="47"/>
      <c r="AH88" s="53">
        <f t="shared" si="18"/>
        <v>1750000</v>
      </c>
      <c r="AI88" s="51"/>
      <c r="AJ88" s="55">
        <f t="shared" si="21"/>
        <v>0</v>
      </c>
    </row>
    <row r="89" spans="1:36" s="36" customFormat="1" ht="15.75" x14ac:dyDescent="0.25">
      <c r="A89" s="34" t="s">
        <v>210</v>
      </c>
      <c r="B89" s="35" t="s">
        <v>211</v>
      </c>
      <c r="C89" s="52" t="s">
        <v>45</v>
      </c>
      <c r="D89" s="52" t="s">
        <v>45</v>
      </c>
      <c r="E89" s="52" t="s">
        <v>320</v>
      </c>
      <c r="F89" s="52" t="s">
        <v>165</v>
      </c>
      <c r="G89" s="52" t="s">
        <v>165</v>
      </c>
      <c r="H89" s="52" t="s">
        <v>165</v>
      </c>
      <c r="I89" s="52" t="s">
        <v>165</v>
      </c>
      <c r="J89" s="53"/>
      <c r="K89" s="53"/>
      <c r="L89" s="53"/>
      <c r="M89" s="53"/>
      <c r="N89" s="53"/>
      <c r="O89" s="47"/>
      <c r="P89" s="115"/>
      <c r="Q89" s="47"/>
      <c r="R89" s="115"/>
      <c r="S89" s="115"/>
      <c r="T89" s="115"/>
      <c r="U89" s="58"/>
      <c r="V89" s="58"/>
      <c r="W89" s="58"/>
      <c r="X89" s="53"/>
      <c r="Y89" s="53"/>
      <c r="Z89" s="53"/>
      <c r="AA89" s="53"/>
      <c r="AB89" s="53"/>
      <c r="AC89" s="53"/>
      <c r="AD89" s="47"/>
      <c r="AE89" s="53"/>
      <c r="AF89" s="53"/>
      <c r="AG89" s="47"/>
      <c r="AH89" s="53">
        <f t="shared" si="18"/>
        <v>0</v>
      </c>
      <c r="AI89" s="51"/>
      <c r="AJ89" s="124" t="s">
        <v>165</v>
      </c>
    </row>
    <row r="90" spans="1:36" s="36" customFormat="1" ht="15.75" x14ac:dyDescent="0.25">
      <c r="A90" s="34" t="s">
        <v>210</v>
      </c>
      <c r="B90" s="35" t="s">
        <v>438</v>
      </c>
      <c r="C90" s="52" t="s">
        <v>45</v>
      </c>
      <c r="D90" s="52" t="s">
        <v>45</v>
      </c>
      <c r="E90" s="52" t="s">
        <v>320</v>
      </c>
      <c r="F90" s="52" t="s">
        <v>165</v>
      </c>
      <c r="G90" s="52" t="s">
        <v>165</v>
      </c>
      <c r="H90" s="52" t="s">
        <v>165</v>
      </c>
      <c r="I90" s="52" t="s">
        <v>165</v>
      </c>
      <c r="J90" s="53"/>
      <c r="K90" s="53"/>
      <c r="L90" s="53"/>
      <c r="M90" s="53"/>
      <c r="N90" s="53"/>
      <c r="O90" s="47"/>
      <c r="P90" s="115"/>
      <c r="Q90" s="47"/>
      <c r="R90" s="115"/>
      <c r="S90" s="115"/>
      <c r="T90" s="115"/>
      <c r="U90" s="58"/>
      <c r="V90" s="58"/>
      <c r="W90" s="58"/>
      <c r="X90" s="53"/>
      <c r="Y90" s="53"/>
      <c r="Z90" s="53"/>
      <c r="AA90" s="53"/>
      <c r="AB90" s="53"/>
      <c r="AC90" s="53"/>
      <c r="AD90" s="47"/>
      <c r="AE90" s="53"/>
      <c r="AF90" s="53"/>
      <c r="AG90" s="47"/>
      <c r="AH90" s="53">
        <f t="shared" si="18"/>
        <v>0</v>
      </c>
      <c r="AI90" s="51"/>
      <c r="AJ90" s="124" t="s">
        <v>165</v>
      </c>
    </row>
    <row r="91" spans="1:36" s="36" customFormat="1" ht="15.75" x14ac:dyDescent="0.25">
      <c r="A91" s="34" t="s">
        <v>210</v>
      </c>
      <c r="B91" s="35" t="s">
        <v>439</v>
      </c>
      <c r="C91" s="52" t="s">
        <v>45</v>
      </c>
      <c r="D91" s="52" t="s">
        <v>45</v>
      </c>
      <c r="E91" s="52" t="s">
        <v>320</v>
      </c>
      <c r="F91" s="52" t="s">
        <v>319</v>
      </c>
      <c r="G91" s="52" t="s">
        <v>319</v>
      </c>
      <c r="H91" s="52" t="s">
        <v>319</v>
      </c>
      <c r="I91" s="52" t="s">
        <v>319</v>
      </c>
      <c r="J91" s="53"/>
      <c r="K91" s="53"/>
      <c r="L91" s="53"/>
      <c r="M91" s="53"/>
      <c r="N91" s="53"/>
      <c r="O91" s="47"/>
      <c r="P91" s="115"/>
      <c r="Q91" s="47"/>
      <c r="R91" s="115"/>
      <c r="S91" s="115"/>
      <c r="T91" s="115"/>
      <c r="U91" s="58"/>
      <c r="V91" s="58"/>
      <c r="W91" s="58"/>
      <c r="X91" s="53"/>
      <c r="Y91" s="53"/>
      <c r="Z91" s="53"/>
      <c r="AA91" s="53"/>
      <c r="AB91" s="53"/>
      <c r="AC91" s="53"/>
      <c r="AD91" s="47"/>
      <c r="AE91" s="53"/>
      <c r="AF91" s="53"/>
      <c r="AG91" s="47"/>
      <c r="AH91" s="53">
        <f t="shared" si="18"/>
        <v>0</v>
      </c>
      <c r="AI91" s="51"/>
      <c r="AJ91" s="124" t="s">
        <v>319</v>
      </c>
    </row>
    <row r="92" spans="1:36" s="36" customFormat="1" ht="15.75" x14ac:dyDescent="0.25">
      <c r="A92" s="34" t="s">
        <v>210</v>
      </c>
      <c r="B92" s="35" t="s">
        <v>440</v>
      </c>
      <c r="C92" s="52" t="s">
        <v>45</v>
      </c>
      <c r="D92" s="52" t="s">
        <v>45</v>
      </c>
      <c r="E92" s="52" t="s">
        <v>320</v>
      </c>
      <c r="F92" s="52" t="s">
        <v>319</v>
      </c>
      <c r="G92" s="52" t="s">
        <v>319</v>
      </c>
      <c r="H92" s="52" t="s">
        <v>319</v>
      </c>
      <c r="I92" s="52" t="s">
        <v>319</v>
      </c>
      <c r="J92" s="53"/>
      <c r="K92" s="53"/>
      <c r="L92" s="53"/>
      <c r="M92" s="53"/>
      <c r="N92" s="53"/>
      <c r="O92" s="47"/>
      <c r="P92" s="115"/>
      <c r="Q92" s="47"/>
      <c r="R92" s="115"/>
      <c r="S92" s="115"/>
      <c r="T92" s="115"/>
      <c r="U92" s="58"/>
      <c r="V92" s="58"/>
      <c r="W92" s="58"/>
      <c r="X92" s="53"/>
      <c r="Y92" s="53"/>
      <c r="Z92" s="53"/>
      <c r="AA92" s="53"/>
      <c r="AB92" s="53"/>
      <c r="AC92" s="53"/>
      <c r="AD92" s="47"/>
      <c r="AE92" s="53"/>
      <c r="AF92" s="53"/>
      <c r="AG92" s="47"/>
      <c r="AH92" s="53">
        <f t="shared" si="18"/>
        <v>0</v>
      </c>
      <c r="AI92" s="51"/>
      <c r="AJ92" s="124" t="s">
        <v>319</v>
      </c>
    </row>
    <row r="93" spans="1:36" s="36" customFormat="1" ht="15.75" x14ac:dyDescent="0.25">
      <c r="A93" s="34" t="s">
        <v>215</v>
      </c>
      <c r="B93" s="35" t="s">
        <v>216</v>
      </c>
      <c r="C93" s="52" t="s">
        <v>45</v>
      </c>
      <c r="D93" s="52" t="s">
        <v>45</v>
      </c>
      <c r="E93" s="52" t="s">
        <v>320</v>
      </c>
      <c r="F93" s="52"/>
      <c r="G93" s="52"/>
      <c r="H93" s="50"/>
      <c r="I93" s="182">
        <v>89724</v>
      </c>
      <c r="J93" s="53"/>
      <c r="K93" s="53"/>
      <c r="L93" s="53"/>
      <c r="M93" s="53"/>
      <c r="N93" s="53"/>
      <c r="O93" s="47"/>
      <c r="P93" s="115"/>
      <c r="Q93" s="47"/>
      <c r="R93" s="115"/>
      <c r="S93" s="115"/>
      <c r="T93" s="115"/>
      <c r="U93" s="58"/>
      <c r="V93" s="58"/>
      <c r="W93" s="58"/>
      <c r="X93" s="53"/>
      <c r="Y93" s="53"/>
      <c r="Z93" s="53"/>
      <c r="AA93" s="53"/>
      <c r="AB93" s="53"/>
      <c r="AC93" s="53"/>
      <c r="AD93" s="47"/>
      <c r="AE93" s="54">
        <v>89724</v>
      </c>
      <c r="AF93" s="53"/>
      <c r="AG93" s="47"/>
      <c r="AH93" s="53">
        <f t="shared" si="18"/>
        <v>89724</v>
      </c>
      <c r="AI93" s="51"/>
      <c r="AJ93" s="55">
        <f t="shared" si="21"/>
        <v>0</v>
      </c>
    </row>
    <row r="94" spans="1:36" s="36" customFormat="1" ht="15.75" x14ac:dyDescent="0.25">
      <c r="A94" s="34" t="s">
        <v>210</v>
      </c>
      <c r="B94" s="35" t="s">
        <v>217</v>
      </c>
      <c r="C94" s="52" t="s">
        <v>45</v>
      </c>
      <c r="D94" s="52" t="s">
        <v>45</v>
      </c>
      <c r="E94" s="52" t="s">
        <v>320</v>
      </c>
      <c r="F94" s="52"/>
      <c r="G94" s="52"/>
      <c r="H94" s="50"/>
      <c r="I94" s="53"/>
      <c r="J94" s="53"/>
      <c r="K94" s="53"/>
      <c r="L94" s="53"/>
      <c r="M94" s="53"/>
      <c r="N94" s="53"/>
      <c r="O94" s="47"/>
      <c r="P94" s="115"/>
      <c r="Q94" s="47"/>
      <c r="R94" s="115"/>
      <c r="S94" s="115"/>
      <c r="T94" s="115"/>
      <c r="U94" s="58"/>
      <c r="V94" s="58"/>
      <c r="W94" s="58"/>
      <c r="X94" s="53"/>
      <c r="Y94" s="53"/>
      <c r="Z94" s="53"/>
      <c r="AA94" s="53"/>
      <c r="AB94" s="53"/>
      <c r="AC94" s="53"/>
      <c r="AD94" s="47"/>
      <c r="AE94" s="53"/>
      <c r="AF94" s="53"/>
      <c r="AG94" s="47"/>
      <c r="AH94" s="53">
        <f t="shared" si="18"/>
        <v>0</v>
      </c>
      <c r="AI94" s="51"/>
      <c r="AJ94" s="55">
        <f t="shared" si="21"/>
        <v>0</v>
      </c>
    </row>
    <row r="95" spans="1:36" s="36" customFormat="1" ht="15.75" x14ac:dyDescent="0.25">
      <c r="A95" s="34" t="s">
        <v>210</v>
      </c>
      <c r="B95" s="35" t="s">
        <v>211</v>
      </c>
      <c r="C95" s="52" t="s">
        <v>45</v>
      </c>
      <c r="D95" s="52" t="s">
        <v>45</v>
      </c>
      <c r="E95" s="52" t="s">
        <v>320</v>
      </c>
      <c r="F95" s="52"/>
      <c r="G95" s="52"/>
      <c r="H95" s="50"/>
      <c r="I95" s="53"/>
      <c r="J95" s="53"/>
      <c r="K95" s="53"/>
      <c r="L95" s="53"/>
      <c r="M95" s="53"/>
      <c r="N95" s="53"/>
      <c r="O95" s="47"/>
      <c r="P95" s="115"/>
      <c r="Q95" s="47"/>
      <c r="R95" s="115"/>
      <c r="S95" s="115"/>
      <c r="T95" s="115"/>
      <c r="U95" s="58"/>
      <c r="V95" s="58"/>
      <c r="W95" s="58"/>
      <c r="X95" s="53"/>
      <c r="Y95" s="53"/>
      <c r="Z95" s="53"/>
      <c r="AA95" s="53"/>
      <c r="AB95" s="53"/>
      <c r="AC95" s="53"/>
      <c r="AD95" s="47"/>
      <c r="AE95" s="53"/>
      <c r="AF95" s="53"/>
      <c r="AG95" s="47"/>
      <c r="AH95" s="53">
        <f t="shared" si="18"/>
        <v>0</v>
      </c>
      <c r="AI95" s="51"/>
      <c r="AJ95" s="55">
        <f t="shared" si="21"/>
        <v>0</v>
      </c>
    </row>
    <row r="96" spans="1:36" s="36" customFormat="1" ht="15.75" x14ac:dyDescent="0.25">
      <c r="A96" s="34" t="s">
        <v>210</v>
      </c>
      <c r="B96" s="35" t="s">
        <v>218</v>
      </c>
      <c r="C96" s="52" t="s">
        <v>45</v>
      </c>
      <c r="D96" s="52" t="s">
        <v>45</v>
      </c>
      <c r="E96" s="52" t="s">
        <v>320</v>
      </c>
      <c r="F96" s="52"/>
      <c r="G96" s="52"/>
      <c r="H96" s="50"/>
      <c r="I96" s="53"/>
      <c r="J96" s="53"/>
      <c r="K96" s="53"/>
      <c r="L96" s="53"/>
      <c r="M96" s="53"/>
      <c r="N96" s="53"/>
      <c r="O96" s="47"/>
      <c r="P96" s="115"/>
      <c r="Q96" s="47"/>
      <c r="R96" s="115"/>
      <c r="S96" s="115"/>
      <c r="T96" s="115"/>
      <c r="U96" s="58"/>
      <c r="V96" s="58"/>
      <c r="W96" s="58"/>
      <c r="X96" s="53"/>
      <c r="Y96" s="53"/>
      <c r="Z96" s="53"/>
      <c r="AA96" s="53"/>
      <c r="AB96" s="53"/>
      <c r="AC96" s="53"/>
      <c r="AD96" s="47"/>
      <c r="AE96" s="53"/>
      <c r="AF96" s="53"/>
      <c r="AG96" s="47"/>
      <c r="AH96" s="53">
        <f t="shared" si="18"/>
        <v>0</v>
      </c>
      <c r="AI96" s="51"/>
      <c r="AJ96" s="55">
        <f t="shared" si="21"/>
        <v>0</v>
      </c>
    </row>
    <row r="97" spans="1:37" s="36" customFormat="1" ht="15.75" x14ac:dyDescent="0.25">
      <c r="A97" s="34" t="s">
        <v>210</v>
      </c>
      <c r="B97" s="35" t="s">
        <v>219</v>
      </c>
      <c r="C97" s="52" t="s">
        <v>45</v>
      </c>
      <c r="D97" s="52" t="s">
        <v>45</v>
      </c>
      <c r="E97" s="52" t="s">
        <v>320</v>
      </c>
      <c r="F97" s="52"/>
      <c r="G97" s="52"/>
      <c r="H97" s="50"/>
      <c r="I97" s="53"/>
      <c r="J97" s="53"/>
      <c r="K97" s="53"/>
      <c r="L97" s="53"/>
      <c r="M97" s="53"/>
      <c r="N97" s="53"/>
      <c r="O97" s="47"/>
      <c r="P97" s="115"/>
      <c r="Q97" s="47"/>
      <c r="R97" s="115"/>
      <c r="S97" s="115"/>
      <c r="T97" s="115"/>
      <c r="U97" s="58"/>
      <c r="V97" s="58"/>
      <c r="W97" s="58"/>
      <c r="X97" s="53"/>
      <c r="Y97" s="53"/>
      <c r="Z97" s="53"/>
      <c r="AA97" s="53"/>
      <c r="AB97" s="53"/>
      <c r="AC97" s="53"/>
      <c r="AD97" s="47"/>
      <c r="AE97" s="53"/>
      <c r="AF97" s="53"/>
      <c r="AG97" s="47"/>
      <c r="AH97" s="53">
        <f t="shared" si="18"/>
        <v>0</v>
      </c>
      <c r="AI97" s="51"/>
      <c r="AJ97" s="55">
        <f t="shared" si="21"/>
        <v>0</v>
      </c>
    </row>
    <row r="98" spans="1:37" s="36" customFormat="1" ht="15.75" x14ac:dyDescent="0.25">
      <c r="A98" s="34" t="s">
        <v>210</v>
      </c>
      <c r="B98" s="35" t="s">
        <v>441</v>
      </c>
      <c r="C98" s="52" t="s">
        <v>45</v>
      </c>
      <c r="D98" s="52" t="s">
        <v>45</v>
      </c>
      <c r="E98" s="52" t="s">
        <v>320</v>
      </c>
      <c r="F98" s="52"/>
      <c r="G98" s="52"/>
      <c r="H98" s="50"/>
      <c r="I98" s="53"/>
      <c r="J98" s="53"/>
      <c r="K98" s="53"/>
      <c r="L98" s="53"/>
      <c r="M98" s="53"/>
      <c r="N98" s="53"/>
      <c r="O98" s="47"/>
      <c r="P98" s="115"/>
      <c r="Q98" s="47"/>
      <c r="R98" s="115"/>
      <c r="S98" s="115"/>
      <c r="T98" s="115"/>
      <c r="U98" s="58"/>
      <c r="V98" s="58"/>
      <c r="W98" s="58"/>
      <c r="X98" s="53"/>
      <c r="Y98" s="53"/>
      <c r="Z98" s="53"/>
      <c r="AA98" s="53"/>
      <c r="AB98" s="53"/>
      <c r="AC98" s="53"/>
      <c r="AD98" s="47"/>
      <c r="AE98" s="53"/>
      <c r="AF98" s="53"/>
      <c r="AG98" s="47"/>
      <c r="AH98" s="53">
        <f t="shared" si="18"/>
        <v>0</v>
      </c>
      <c r="AI98" s="51"/>
      <c r="AJ98" s="55">
        <f t="shared" si="21"/>
        <v>0</v>
      </c>
    </row>
    <row r="99" spans="1:37" s="36" customFormat="1" ht="15.75" x14ac:dyDescent="0.25">
      <c r="A99" s="34" t="s">
        <v>210</v>
      </c>
      <c r="B99" s="35" t="s">
        <v>221</v>
      </c>
      <c r="C99" s="52" t="s">
        <v>45</v>
      </c>
      <c r="D99" s="52" t="s">
        <v>45</v>
      </c>
      <c r="E99" s="52" t="s">
        <v>320</v>
      </c>
      <c r="F99" s="52"/>
      <c r="G99" s="52"/>
      <c r="H99" s="50"/>
      <c r="I99" s="53"/>
      <c r="J99" s="53"/>
      <c r="K99" s="53"/>
      <c r="L99" s="53"/>
      <c r="M99" s="53"/>
      <c r="N99" s="53"/>
      <c r="O99" s="47"/>
      <c r="P99" s="115"/>
      <c r="Q99" s="47"/>
      <c r="R99" s="115"/>
      <c r="S99" s="115"/>
      <c r="T99" s="115"/>
      <c r="U99" s="58"/>
      <c r="V99" s="58"/>
      <c r="W99" s="58"/>
      <c r="X99" s="53"/>
      <c r="Y99" s="53"/>
      <c r="Z99" s="53"/>
      <c r="AA99" s="53"/>
      <c r="AB99" s="53"/>
      <c r="AC99" s="53"/>
      <c r="AD99" s="47"/>
      <c r="AE99" s="53"/>
      <c r="AF99" s="53"/>
      <c r="AG99" s="47"/>
      <c r="AH99" s="53">
        <f t="shared" si="18"/>
        <v>0</v>
      </c>
      <c r="AI99" s="51"/>
      <c r="AJ99" s="55">
        <f t="shared" si="21"/>
        <v>0</v>
      </c>
    </row>
    <row r="100" spans="1:37" s="36" customFormat="1" ht="15.75" x14ac:dyDescent="0.25">
      <c r="A100" s="34" t="s">
        <v>210</v>
      </c>
      <c r="B100" s="35" t="s">
        <v>223</v>
      </c>
      <c r="C100" s="52" t="s">
        <v>45</v>
      </c>
      <c r="D100" s="52" t="s">
        <v>45</v>
      </c>
      <c r="E100" s="52" t="s">
        <v>320</v>
      </c>
      <c r="F100" s="52"/>
      <c r="G100" s="52"/>
      <c r="H100" s="50"/>
      <c r="I100" s="53">
        <v>90000</v>
      </c>
      <c r="J100" s="53"/>
      <c r="K100" s="53"/>
      <c r="L100" s="53"/>
      <c r="M100" s="53"/>
      <c r="N100" s="53"/>
      <c r="O100" s="47"/>
      <c r="P100" s="115"/>
      <c r="Q100" s="47"/>
      <c r="R100" s="115"/>
      <c r="S100" s="115"/>
      <c r="T100" s="115"/>
      <c r="U100" s="58"/>
      <c r="V100" s="58"/>
      <c r="W100" s="58"/>
      <c r="X100" s="53"/>
      <c r="Y100" s="53"/>
      <c r="Z100" s="53"/>
      <c r="AA100" s="53"/>
      <c r="AB100" s="53"/>
      <c r="AC100" s="53"/>
      <c r="AD100" s="47"/>
      <c r="AE100" s="54">
        <v>90000</v>
      </c>
      <c r="AF100" s="53"/>
      <c r="AG100" s="47"/>
      <c r="AH100" s="53">
        <f t="shared" si="18"/>
        <v>90000</v>
      </c>
      <c r="AI100" s="51"/>
      <c r="AJ100" s="55">
        <f t="shared" si="21"/>
        <v>0</v>
      </c>
    </row>
    <row r="101" spans="1:37" s="36" customFormat="1" ht="15.75" x14ac:dyDescent="0.25">
      <c r="A101" s="34" t="s">
        <v>398</v>
      </c>
      <c r="B101" s="35" t="s">
        <v>225</v>
      </c>
      <c r="C101" s="52" t="s">
        <v>45</v>
      </c>
      <c r="D101" s="52" t="s">
        <v>45</v>
      </c>
      <c r="E101" s="52" t="s">
        <v>320</v>
      </c>
      <c r="F101" s="52">
        <v>44409</v>
      </c>
      <c r="G101" s="52">
        <v>44649</v>
      </c>
      <c r="H101" s="50"/>
      <c r="I101" s="53">
        <v>1500000</v>
      </c>
      <c r="J101" s="53"/>
      <c r="K101" s="53"/>
      <c r="L101" s="53"/>
      <c r="M101" s="53"/>
      <c r="N101" s="53"/>
      <c r="O101" s="47"/>
      <c r="P101" s="115"/>
      <c r="Q101" s="47"/>
      <c r="R101" s="115"/>
      <c r="S101" s="115"/>
      <c r="T101" s="115"/>
      <c r="U101" s="58"/>
      <c r="V101" s="58"/>
      <c r="W101" s="58"/>
      <c r="X101" s="53"/>
      <c r="Y101" s="53"/>
      <c r="Z101" s="53"/>
      <c r="AA101" s="53"/>
      <c r="AB101" s="53"/>
      <c r="AC101" s="53"/>
      <c r="AD101" s="47"/>
      <c r="AE101" s="54">
        <v>1500000</v>
      </c>
      <c r="AF101" s="53"/>
      <c r="AG101" s="47"/>
      <c r="AH101" s="53">
        <f t="shared" si="18"/>
        <v>1500000</v>
      </c>
      <c r="AI101" s="51"/>
      <c r="AJ101" s="55">
        <f t="shared" si="21"/>
        <v>0</v>
      </c>
    </row>
    <row r="102" spans="1:37" s="36" customFormat="1" ht="15.75" x14ac:dyDescent="0.25">
      <c r="A102" s="64" t="s">
        <v>337</v>
      </c>
      <c r="B102" s="65" t="s">
        <v>422</v>
      </c>
      <c r="C102" s="52" t="s">
        <v>387</v>
      </c>
      <c r="D102" s="87" t="s">
        <v>45</v>
      </c>
      <c r="E102" s="52" t="s">
        <v>320</v>
      </c>
      <c r="F102" s="52" t="s">
        <v>319</v>
      </c>
      <c r="G102" s="52" t="s">
        <v>319</v>
      </c>
      <c r="H102" s="52" t="s">
        <v>319</v>
      </c>
      <c r="I102" s="182">
        <v>37392</v>
      </c>
      <c r="J102" s="53"/>
      <c r="K102" s="53"/>
      <c r="L102" s="53"/>
      <c r="M102" s="53"/>
      <c r="N102" s="53"/>
      <c r="O102" s="47"/>
      <c r="P102" s="115"/>
      <c r="Q102" s="47"/>
      <c r="R102" s="115"/>
      <c r="S102" s="115">
        <v>37392</v>
      </c>
      <c r="T102" s="115"/>
      <c r="U102" s="115">
        <v>0</v>
      </c>
      <c r="V102" s="115">
        <v>0</v>
      </c>
      <c r="W102" s="58"/>
      <c r="X102" s="58"/>
      <c r="Y102" s="58"/>
      <c r="Z102" s="58"/>
      <c r="AA102" s="58"/>
      <c r="AB102" s="58"/>
      <c r="AC102" s="58"/>
      <c r="AD102" s="47"/>
      <c r="AE102" s="53"/>
      <c r="AF102" s="53"/>
      <c r="AG102" s="47"/>
      <c r="AH102" s="53">
        <f>SUM(P102:AG102)</f>
        <v>37392</v>
      </c>
      <c r="AI102" s="51"/>
      <c r="AJ102" s="55">
        <f>I102-AH102</f>
        <v>0</v>
      </c>
    </row>
    <row r="103" spans="1:37" s="36" customFormat="1" ht="15.75" x14ac:dyDescent="0.25">
      <c r="A103" s="183" t="s">
        <v>340</v>
      </c>
      <c r="B103" s="184" t="s">
        <v>429</v>
      </c>
      <c r="C103" s="52" t="s">
        <v>387</v>
      </c>
      <c r="D103" s="87" t="s">
        <v>45</v>
      </c>
      <c r="E103" s="52" t="s">
        <v>320</v>
      </c>
      <c r="F103" s="52" t="s">
        <v>319</v>
      </c>
      <c r="G103" s="52" t="s">
        <v>319</v>
      </c>
      <c r="H103" s="52" t="s">
        <v>319</v>
      </c>
      <c r="I103" s="53">
        <v>3575</v>
      </c>
      <c r="J103" s="53"/>
      <c r="K103" s="53"/>
      <c r="L103" s="53"/>
      <c r="M103" s="53"/>
      <c r="N103" s="53"/>
      <c r="O103" s="47"/>
      <c r="P103" s="115"/>
      <c r="Q103" s="47"/>
      <c r="R103" s="115"/>
      <c r="S103" s="115">
        <v>3575</v>
      </c>
      <c r="T103" s="115"/>
      <c r="U103" s="115">
        <v>0</v>
      </c>
      <c r="V103" s="115">
        <v>0</v>
      </c>
      <c r="W103" s="58"/>
      <c r="X103" s="58"/>
      <c r="Y103" s="58"/>
      <c r="Z103" s="58"/>
      <c r="AA103" s="58"/>
      <c r="AB103" s="58"/>
      <c r="AC103" s="58"/>
      <c r="AD103" s="47"/>
      <c r="AE103" s="58"/>
      <c r="AF103" s="53"/>
      <c r="AG103" s="47"/>
      <c r="AH103" s="53">
        <f>SUM(P103:AG103)</f>
        <v>3575</v>
      </c>
      <c r="AI103" s="51"/>
      <c r="AJ103" s="55">
        <f>I103-AH103</f>
        <v>0</v>
      </c>
    </row>
    <row r="104" spans="1:37" s="36" customFormat="1" ht="15.75" x14ac:dyDescent="0.25">
      <c r="A104" s="34" t="s">
        <v>228</v>
      </c>
      <c r="B104" s="35" t="s">
        <v>443</v>
      </c>
      <c r="C104" s="52" t="s">
        <v>45</v>
      </c>
      <c r="D104" s="52" t="s">
        <v>389</v>
      </c>
      <c r="E104" s="52" t="s">
        <v>320</v>
      </c>
      <c r="F104" s="52"/>
      <c r="G104" s="52"/>
      <c r="H104" s="50"/>
      <c r="I104" s="53">
        <v>1750000</v>
      </c>
      <c r="J104" s="53"/>
      <c r="K104" s="53"/>
      <c r="L104" s="53"/>
      <c r="M104" s="53"/>
      <c r="N104" s="53"/>
      <c r="O104" s="47"/>
      <c r="P104" s="115"/>
      <c r="Q104" s="47"/>
      <c r="R104" s="115"/>
      <c r="S104" s="115"/>
      <c r="T104" s="115"/>
      <c r="U104" s="58"/>
      <c r="V104" s="58"/>
      <c r="W104" s="58"/>
      <c r="X104" s="53"/>
      <c r="Y104" s="53"/>
      <c r="Z104" s="53"/>
      <c r="AA104" s="53"/>
      <c r="AB104" s="53"/>
      <c r="AC104" s="53"/>
      <c r="AD104" s="47"/>
      <c r="AE104" s="53">
        <v>1750000</v>
      </c>
      <c r="AF104" s="53"/>
      <c r="AG104" s="47"/>
      <c r="AH104" s="53">
        <f t="shared" si="18"/>
        <v>1750000</v>
      </c>
      <c r="AI104" s="51"/>
      <c r="AJ104" s="55">
        <f t="shared" si="21"/>
        <v>0</v>
      </c>
    </row>
    <row r="105" spans="1:37" s="36" customFormat="1" ht="15.75" x14ac:dyDescent="0.25">
      <c r="A105" s="34"/>
      <c r="B105" s="35"/>
      <c r="C105" s="52"/>
      <c r="D105" s="52"/>
      <c r="E105" s="52"/>
      <c r="F105" s="52"/>
      <c r="G105" s="52"/>
      <c r="H105" s="50"/>
      <c r="I105" s="53"/>
      <c r="J105" s="53"/>
      <c r="K105" s="53"/>
      <c r="L105" s="53"/>
      <c r="M105" s="53"/>
      <c r="N105" s="53"/>
      <c r="O105" s="47"/>
      <c r="P105" s="115"/>
      <c r="Q105" s="47"/>
      <c r="R105" s="115"/>
      <c r="S105" s="115"/>
      <c r="T105" s="115"/>
      <c r="U105" s="58"/>
      <c r="V105" s="58"/>
      <c r="W105" s="58"/>
      <c r="X105" s="53"/>
      <c r="Y105" s="53"/>
      <c r="Z105" s="53"/>
      <c r="AA105" s="53"/>
      <c r="AB105" s="53"/>
      <c r="AC105" s="53"/>
      <c r="AD105" s="47"/>
      <c r="AE105" s="53"/>
      <c r="AF105" s="53"/>
      <c r="AG105" s="47"/>
      <c r="AH105" s="53">
        <f t="shared" si="18"/>
        <v>0</v>
      </c>
      <c r="AI105" s="51"/>
      <c r="AJ105" s="55">
        <f t="shared" si="21"/>
        <v>0</v>
      </c>
    </row>
    <row r="106" spans="1:37" s="36" customFormat="1" ht="15.75" x14ac:dyDescent="0.25">
      <c r="A106" s="34"/>
      <c r="B106" s="35"/>
      <c r="C106" s="52"/>
      <c r="D106" s="52"/>
      <c r="E106" s="52"/>
      <c r="F106" s="52"/>
      <c r="G106" s="52"/>
      <c r="H106" s="50"/>
      <c r="I106" s="53"/>
      <c r="J106" s="53"/>
      <c r="K106" s="53"/>
      <c r="L106" s="53"/>
      <c r="M106" s="53"/>
      <c r="N106" s="53"/>
      <c r="O106" s="47"/>
      <c r="P106" s="115"/>
      <c r="Q106" s="47"/>
      <c r="R106" s="115"/>
      <c r="S106" s="115"/>
      <c r="T106" s="115"/>
      <c r="U106" s="58"/>
      <c r="V106" s="58"/>
      <c r="W106" s="58"/>
      <c r="X106" s="53"/>
      <c r="Y106" s="53"/>
      <c r="Z106" s="53"/>
      <c r="AA106" s="53"/>
      <c r="AB106" s="53"/>
      <c r="AC106" s="53"/>
      <c r="AD106" s="47"/>
      <c r="AE106" s="53"/>
      <c r="AF106" s="53"/>
      <c r="AG106" s="47"/>
      <c r="AH106" s="53">
        <f t="shared" si="18"/>
        <v>0</v>
      </c>
      <c r="AI106" s="51"/>
      <c r="AJ106" s="55">
        <f t="shared" si="21"/>
        <v>0</v>
      </c>
    </row>
    <row r="107" spans="1:37" s="36" customFormat="1" ht="15.75" x14ac:dyDescent="0.25">
      <c r="A107" s="99"/>
      <c r="B107" s="100"/>
      <c r="C107" s="91"/>
      <c r="D107" s="91"/>
      <c r="E107" s="91"/>
      <c r="F107" s="91"/>
      <c r="G107" s="91"/>
      <c r="H107" s="92"/>
      <c r="I107" s="59">
        <f>SUM(I73:I106)</f>
        <v>32951758</v>
      </c>
      <c r="J107" s="59"/>
      <c r="K107" s="59"/>
      <c r="L107" s="59"/>
      <c r="M107" s="59"/>
      <c r="N107" s="59"/>
      <c r="O107" s="47"/>
      <c r="P107" s="59">
        <f>SUM(P73:P106)</f>
        <v>122184</v>
      </c>
      <c r="Q107" s="47"/>
      <c r="R107" s="59">
        <f t="shared" ref="R107:AC107" si="22">SUM(R73:R106)</f>
        <v>353138</v>
      </c>
      <c r="S107" s="59">
        <f t="shared" si="22"/>
        <v>188750</v>
      </c>
      <c r="T107" s="59">
        <f t="shared" si="22"/>
        <v>71648</v>
      </c>
      <c r="U107" s="59">
        <f t="shared" si="22"/>
        <v>379756</v>
      </c>
      <c r="V107" s="59">
        <f t="shared" si="22"/>
        <v>41062</v>
      </c>
      <c r="W107" s="59">
        <f t="shared" si="22"/>
        <v>425000</v>
      </c>
      <c r="X107" s="59">
        <f t="shared" si="22"/>
        <v>830000</v>
      </c>
      <c r="Y107" s="59">
        <f t="shared" si="22"/>
        <v>1205000</v>
      </c>
      <c r="Z107" s="59">
        <f t="shared" si="22"/>
        <v>1575000</v>
      </c>
      <c r="AA107" s="59">
        <f t="shared" si="22"/>
        <v>2650000</v>
      </c>
      <c r="AB107" s="59">
        <f t="shared" si="22"/>
        <v>2750000</v>
      </c>
      <c r="AC107" s="59">
        <f t="shared" si="22"/>
        <v>2600000</v>
      </c>
      <c r="AD107" s="47"/>
      <c r="AE107" s="59">
        <f>SUM(AE73:AE106)</f>
        <v>19856038</v>
      </c>
      <c r="AF107" s="59">
        <f>SUM(AF73:AF106)</f>
        <v>0</v>
      </c>
      <c r="AG107" s="47"/>
      <c r="AH107" s="53">
        <f>SUM(P107:AG107)</f>
        <v>33047576</v>
      </c>
      <c r="AI107" s="51"/>
      <c r="AJ107" s="55">
        <f t="shared" si="21"/>
        <v>-95818</v>
      </c>
      <c r="AK107" s="55"/>
    </row>
    <row r="108" spans="1:37" s="36" customFormat="1" ht="16.5" thickBot="1" x14ac:dyDescent="0.3">
      <c r="A108" s="34"/>
      <c r="B108" s="35"/>
      <c r="C108" s="52"/>
      <c r="D108" s="52"/>
      <c r="E108" s="52"/>
      <c r="F108" s="52"/>
      <c r="G108" s="141"/>
      <c r="H108" s="142"/>
      <c r="I108" s="143"/>
      <c r="J108" s="143"/>
      <c r="K108" s="143"/>
      <c r="L108" s="143"/>
      <c r="M108" s="143"/>
      <c r="N108" s="143"/>
      <c r="O108" s="144"/>
      <c r="P108" s="143"/>
      <c r="Q108" s="144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4"/>
      <c r="AE108" s="143"/>
      <c r="AF108" s="143"/>
      <c r="AG108" s="144"/>
      <c r="AH108" s="143"/>
      <c r="AI108" s="145"/>
      <c r="AJ108" s="55">
        <f t="shared" si="21"/>
        <v>0</v>
      </c>
    </row>
    <row r="109" spans="1:37" s="36" customFormat="1" ht="16.5" thickBot="1" x14ac:dyDescent="0.3">
      <c r="C109" s="37"/>
      <c r="D109" s="37"/>
      <c r="E109" s="37"/>
      <c r="F109" s="37"/>
      <c r="G109" s="70"/>
      <c r="H109" s="148" t="s">
        <v>445</v>
      </c>
      <c r="I109" s="149">
        <f>I13+I18+I42+I53+I71+I107+I50+I26</f>
        <v>87839685</v>
      </c>
      <c r="J109" s="149">
        <f>J13+J18+J42+J53+J71+J107</f>
        <v>0</v>
      </c>
      <c r="K109" s="149">
        <f>K13+K18+K42+K53+K71+K107</f>
        <v>0</v>
      </c>
      <c r="L109" s="149">
        <f>L13+L18+L42+L53+L71+L107</f>
        <v>0</v>
      </c>
      <c r="M109" s="149">
        <f>M13+M18+M42+M53+M71+M107</f>
        <v>0</v>
      </c>
      <c r="N109" s="149">
        <f>N13+N18+N42+N53+N71+N107</f>
        <v>0</v>
      </c>
      <c r="O109" s="144"/>
      <c r="P109" s="151">
        <f>P13+P18+P42+P53+P71+P107+P50+P26</f>
        <v>12192800</v>
      </c>
      <c r="Q109" s="144"/>
      <c r="R109" s="151">
        <f>R13+R18+R42+R53+R71+R107+R50+R26</f>
        <v>3795406</v>
      </c>
      <c r="S109" s="151">
        <f t="shared" ref="S109:AF109" si="23">S13+S18+S42+S53+S71+S107+S50+S26</f>
        <v>2521879</v>
      </c>
      <c r="T109" s="151">
        <f t="shared" si="23"/>
        <v>3804063</v>
      </c>
      <c r="U109" s="151">
        <f t="shared" si="23"/>
        <v>4018665.66</v>
      </c>
      <c r="V109" s="151">
        <f t="shared" si="23"/>
        <v>3249896</v>
      </c>
      <c r="W109" s="149">
        <f t="shared" si="23"/>
        <v>5513427.6699999999</v>
      </c>
      <c r="X109" s="149">
        <f t="shared" si="23"/>
        <v>4321640.67</v>
      </c>
      <c r="Y109" s="149">
        <f t="shared" si="23"/>
        <v>4576521</v>
      </c>
      <c r="Z109" s="149">
        <f t="shared" si="23"/>
        <v>4449117</v>
      </c>
      <c r="AA109" s="149">
        <f t="shared" si="23"/>
        <v>5303964</v>
      </c>
      <c r="AB109" s="149">
        <f t="shared" si="23"/>
        <v>4951965</v>
      </c>
      <c r="AC109" s="149">
        <f t="shared" si="23"/>
        <v>3803263</v>
      </c>
      <c r="AD109" s="144"/>
      <c r="AE109" s="149">
        <f t="shared" si="23"/>
        <v>23494356</v>
      </c>
      <c r="AF109" s="149">
        <f t="shared" si="23"/>
        <v>0</v>
      </c>
      <c r="AG109" s="150"/>
      <c r="AH109" s="152">
        <f>SUM(P109:AG109)</f>
        <v>85996964</v>
      </c>
      <c r="AI109" s="153"/>
      <c r="AJ109" s="55">
        <f t="shared" si="21"/>
        <v>1842721</v>
      </c>
      <c r="AK109" s="55"/>
    </row>
    <row r="110" spans="1:37" s="90" customFormat="1" ht="15.75" x14ac:dyDescent="0.25">
      <c r="C110" s="122"/>
      <c r="D110" s="122"/>
      <c r="E110" s="122"/>
      <c r="F110" s="122"/>
      <c r="G110" s="123"/>
      <c r="H110" s="124" t="s">
        <v>405</v>
      </c>
      <c r="I110" s="125"/>
      <c r="J110" s="125"/>
      <c r="K110" s="125"/>
      <c r="L110" s="125"/>
      <c r="M110" s="125"/>
      <c r="N110" s="125"/>
      <c r="O110" s="126"/>
      <c r="P110" s="125">
        <v>14657045</v>
      </c>
      <c r="Q110" s="126"/>
      <c r="R110" s="128">
        <v>2798117.1428571427</v>
      </c>
      <c r="S110" s="128">
        <v>3206824.6428571427</v>
      </c>
      <c r="T110" s="128">
        <v>4008392.6428571427</v>
      </c>
      <c r="U110" s="128">
        <v>4318997.6428571427</v>
      </c>
      <c r="V110" s="128">
        <v>5069566.6428571418</v>
      </c>
      <c r="W110" s="128">
        <v>5575814.6428571418</v>
      </c>
      <c r="X110" s="128">
        <v>5314704.6428571418</v>
      </c>
      <c r="Y110" s="128">
        <v>5476840</v>
      </c>
      <c r="Z110" s="128">
        <v>5359959</v>
      </c>
      <c r="AA110" s="128">
        <v>6173564</v>
      </c>
      <c r="AB110" s="128">
        <v>5501722</v>
      </c>
      <c r="AC110" s="128">
        <v>3866535</v>
      </c>
      <c r="AD110" s="146"/>
      <c r="AE110" s="125">
        <v>16008105</v>
      </c>
      <c r="AF110" s="125"/>
      <c r="AG110" s="146"/>
      <c r="AH110" s="125"/>
      <c r="AI110" s="126"/>
    </row>
    <row r="111" spans="1:37" ht="15.75" x14ac:dyDescent="0.25">
      <c r="G111" s="75"/>
      <c r="H111" s="38" t="s">
        <v>406</v>
      </c>
      <c r="I111" s="76"/>
      <c r="J111" s="76"/>
      <c r="K111" s="76"/>
      <c r="L111" s="76"/>
      <c r="M111" s="76"/>
      <c r="N111" s="76"/>
      <c r="O111" s="77"/>
      <c r="P111" s="128">
        <f>P109-P110</f>
        <v>-2464245</v>
      </c>
      <c r="Q111" s="126"/>
      <c r="R111" s="128">
        <f>R109-R110</f>
        <v>997288.85714285728</v>
      </c>
      <c r="S111" s="128">
        <f t="shared" ref="S111:AC111" si="24">S109-S110</f>
        <v>-684945.64285714272</v>
      </c>
      <c r="T111" s="128">
        <f t="shared" si="24"/>
        <v>-204329.64285714272</v>
      </c>
      <c r="U111" s="128">
        <f t="shared" si="24"/>
        <v>-300331.98285714258</v>
      </c>
      <c r="V111" s="128">
        <f t="shared" si="24"/>
        <v>-1819670.6428571418</v>
      </c>
      <c r="W111" s="128">
        <f t="shared" si="24"/>
        <v>-62386.972857141867</v>
      </c>
      <c r="X111" s="128">
        <f t="shared" si="24"/>
        <v>-993063.97285714187</v>
      </c>
      <c r="Y111" s="128">
        <f t="shared" si="24"/>
        <v>-900319</v>
      </c>
      <c r="Z111" s="128">
        <f t="shared" si="24"/>
        <v>-910842</v>
      </c>
      <c r="AA111" s="128">
        <f t="shared" si="24"/>
        <v>-869600</v>
      </c>
      <c r="AB111" s="128">
        <f t="shared" si="24"/>
        <v>-549757</v>
      </c>
      <c r="AC111" s="128">
        <f t="shared" si="24"/>
        <v>-63272</v>
      </c>
      <c r="AD111" s="127"/>
      <c r="AE111" s="125"/>
      <c r="AF111" s="125"/>
      <c r="AG111" s="47"/>
      <c r="AH111" s="76"/>
      <c r="AI111" s="77"/>
      <c r="AJ111" s="90"/>
    </row>
    <row r="112" spans="1:37" ht="15.75" x14ac:dyDescent="0.25">
      <c r="Q112" s="132"/>
      <c r="R112" s="130"/>
      <c r="S112" s="130"/>
      <c r="T112" s="130"/>
      <c r="U112" s="133"/>
      <c r="V112" s="133"/>
      <c r="W112" s="133"/>
      <c r="X112" s="130"/>
      <c r="Y112" s="130"/>
      <c r="Z112" s="130"/>
      <c r="AA112" s="130"/>
      <c r="AB112" s="130"/>
      <c r="AC112" s="130"/>
      <c r="AD112" s="127"/>
      <c r="AE112" s="130"/>
      <c r="AF112" s="130"/>
      <c r="AG112" s="47"/>
    </row>
    <row r="113" spans="7:36" ht="15.75" x14ac:dyDescent="0.25">
      <c r="H113" s="38" t="s">
        <v>407</v>
      </c>
      <c r="Q113" s="132"/>
      <c r="R113" s="136">
        <v>2897650</v>
      </c>
      <c r="S113" s="136">
        <v>3085444</v>
      </c>
      <c r="T113" s="136">
        <v>3369732</v>
      </c>
      <c r="U113" s="133"/>
      <c r="V113" s="133"/>
      <c r="W113" s="133"/>
      <c r="X113" s="130"/>
      <c r="Y113" s="130"/>
      <c r="Z113" s="130"/>
      <c r="AA113" s="130"/>
      <c r="AB113" s="130"/>
      <c r="AC113" s="130"/>
      <c r="AD113" s="127"/>
      <c r="AE113" s="130"/>
      <c r="AF113" s="130"/>
      <c r="AG113" s="47"/>
    </row>
    <row r="114" spans="7:36" ht="15.75" x14ac:dyDescent="0.25">
      <c r="H114" s="38" t="s">
        <v>408</v>
      </c>
      <c r="Q114" s="132"/>
      <c r="R114" s="130">
        <f>(R110*0.9)*0.887</f>
        <v>2233736.915142857</v>
      </c>
      <c r="S114" s="130">
        <f t="shared" ref="S114:AE114" si="25">(S110*0.9)*0.887</f>
        <v>2560008.1123928572</v>
      </c>
      <c r="T114" s="130">
        <f t="shared" si="25"/>
        <v>3199899.8467928572</v>
      </c>
      <c r="U114" s="130">
        <f t="shared" si="25"/>
        <v>3447855.8182928571</v>
      </c>
      <c r="V114" s="130">
        <f t="shared" si="25"/>
        <v>4047035.0509928567</v>
      </c>
      <c r="W114" s="130">
        <f t="shared" si="25"/>
        <v>4451172.8293928569</v>
      </c>
      <c r="X114" s="130">
        <f t="shared" si="25"/>
        <v>4242728.716392857</v>
      </c>
      <c r="Y114" s="130">
        <f t="shared" si="25"/>
        <v>4372161.3720000004</v>
      </c>
      <c r="Z114" s="130">
        <f t="shared" si="25"/>
        <v>4278855.269700001</v>
      </c>
      <c r="AA114" s="130">
        <f t="shared" si="25"/>
        <v>4928356.1412000004</v>
      </c>
      <c r="AB114" s="130">
        <f t="shared" si="25"/>
        <v>4392024.6726000002</v>
      </c>
      <c r="AC114" s="130">
        <f t="shared" si="25"/>
        <v>3086654.8905000002</v>
      </c>
      <c r="AD114" s="127"/>
      <c r="AE114" s="130">
        <f t="shared" si="25"/>
        <v>12779270.2215</v>
      </c>
      <c r="AF114" s="130"/>
      <c r="AG114" s="47"/>
    </row>
    <row r="115" spans="7:36" ht="15.75" x14ac:dyDescent="0.25">
      <c r="H115" s="38" t="s">
        <v>406</v>
      </c>
      <c r="Q115" s="132"/>
      <c r="R115" s="130">
        <f>R113-R114</f>
        <v>663913.084857143</v>
      </c>
      <c r="S115" s="130">
        <f>S113-S114</f>
        <v>525435.88760714279</v>
      </c>
      <c r="T115" s="130">
        <f>T113-T114</f>
        <v>169832.15320714284</v>
      </c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27"/>
      <c r="AE115" s="130"/>
      <c r="AF115" s="130"/>
      <c r="AG115" s="47"/>
    </row>
    <row r="116" spans="7:36" ht="15.75" x14ac:dyDescent="0.25">
      <c r="Q116" s="132"/>
      <c r="R116" s="130"/>
      <c r="S116" s="130"/>
      <c r="T116" s="130"/>
      <c r="U116" s="133"/>
      <c r="V116" s="133"/>
      <c r="W116" s="133"/>
      <c r="X116" s="130"/>
      <c r="Y116" s="130"/>
      <c r="Z116" s="130"/>
      <c r="AA116" s="130"/>
      <c r="AB116" s="130"/>
      <c r="AC116" s="130"/>
      <c r="AD116" s="127"/>
      <c r="AE116" s="130"/>
      <c r="AF116" s="130"/>
      <c r="AG116" s="47"/>
    </row>
    <row r="117" spans="7:36" ht="15.75" x14ac:dyDescent="0.25">
      <c r="H117" s="38" t="s">
        <v>409</v>
      </c>
      <c r="Q117" s="132"/>
      <c r="R117" s="136">
        <v>261214</v>
      </c>
      <c r="S117" s="136">
        <v>325090</v>
      </c>
      <c r="T117" s="136">
        <v>157521</v>
      </c>
      <c r="U117" s="133"/>
      <c r="V117" s="133"/>
      <c r="W117" s="133"/>
      <c r="X117" s="130"/>
      <c r="Y117" s="130"/>
      <c r="Z117" s="130"/>
      <c r="AA117" s="130"/>
      <c r="AB117" s="130"/>
      <c r="AC117" s="130"/>
      <c r="AD117" s="127"/>
      <c r="AE117" s="130"/>
      <c r="AF117" s="130"/>
      <c r="AG117" s="47"/>
    </row>
    <row r="118" spans="7:36" ht="15.75" x14ac:dyDescent="0.25">
      <c r="H118" s="38" t="s">
        <v>410</v>
      </c>
      <c r="Q118" s="132"/>
      <c r="R118" s="130">
        <f t="shared" ref="R118:AC118" si="26">(R110*0.877)*0.1</f>
        <v>245394.87342857142</v>
      </c>
      <c r="S118" s="130">
        <f t="shared" si="26"/>
        <v>281238.52117857145</v>
      </c>
      <c r="T118" s="130">
        <f t="shared" si="26"/>
        <v>351536.03477857145</v>
      </c>
      <c r="U118" s="130">
        <f t="shared" si="26"/>
        <v>378776.09327857144</v>
      </c>
      <c r="V118" s="130">
        <f t="shared" si="26"/>
        <v>444600.99457857135</v>
      </c>
      <c r="W118" s="130">
        <f t="shared" si="26"/>
        <v>488998.9441785714</v>
      </c>
      <c r="X118" s="130">
        <f t="shared" si="26"/>
        <v>466099.59717857133</v>
      </c>
      <c r="Y118" s="130">
        <f t="shared" si="26"/>
        <v>480318.86800000002</v>
      </c>
      <c r="Z118" s="130">
        <f t="shared" si="26"/>
        <v>470068.40429999999</v>
      </c>
      <c r="AA118" s="130">
        <f t="shared" si="26"/>
        <v>541421.56279999996</v>
      </c>
      <c r="AB118" s="130">
        <f t="shared" si="26"/>
        <v>482501.01940000005</v>
      </c>
      <c r="AC118" s="130">
        <f t="shared" si="26"/>
        <v>339095.11950000003</v>
      </c>
      <c r="AD118" s="127"/>
      <c r="AE118" s="130">
        <f>(AE110*0.877)*0.1</f>
        <v>1403910.8085000003</v>
      </c>
      <c r="AF118" s="130"/>
      <c r="AG118" s="47"/>
    </row>
    <row r="119" spans="7:36" ht="15.75" x14ac:dyDescent="0.25">
      <c r="G119" s="75"/>
      <c r="H119" s="38" t="s">
        <v>406</v>
      </c>
      <c r="I119" s="76"/>
      <c r="J119" s="76"/>
      <c r="K119" s="76"/>
      <c r="L119" s="76"/>
      <c r="M119" s="76"/>
      <c r="N119" s="76"/>
      <c r="O119" s="77"/>
      <c r="P119" s="125"/>
      <c r="Q119" s="126"/>
      <c r="R119" s="128">
        <f>R117-R118</f>
        <v>15819.126571428584</v>
      </c>
      <c r="S119" s="128">
        <f>S117-S118</f>
        <v>43851.478821428551</v>
      </c>
      <c r="T119" s="128">
        <f>T117-T118</f>
        <v>-194015.03477857145</v>
      </c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7"/>
      <c r="AE119" s="125"/>
      <c r="AF119" s="125"/>
      <c r="AG119" s="47"/>
      <c r="AH119" s="76"/>
      <c r="AI119" s="77"/>
      <c r="AJ119" s="90"/>
    </row>
    <row r="120" spans="7:36" ht="15.75" x14ac:dyDescent="0.25">
      <c r="G120" s="75"/>
      <c r="I120" s="76"/>
      <c r="J120" s="76"/>
      <c r="K120" s="76"/>
      <c r="L120" s="76"/>
      <c r="M120" s="76"/>
      <c r="N120" s="76"/>
      <c r="O120" s="77"/>
      <c r="P120" s="125"/>
      <c r="Q120" s="126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7"/>
      <c r="AE120" s="125"/>
      <c r="AF120" s="125"/>
      <c r="AG120" s="47"/>
      <c r="AH120" s="76"/>
      <c r="AI120" s="77"/>
      <c r="AJ120" s="90"/>
    </row>
    <row r="121" spans="7:36" ht="15.75" x14ac:dyDescent="0.25">
      <c r="G121" s="75"/>
      <c r="H121" s="38" t="s">
        <v>411</v>
      </c>
      <c r="I121" s="76"/>
      <c r="J121" s="76"/>
      <c r="K121" s="76"/>
      <c r="L121" s="76"/>
      <c r="M121" s="76"/>
      <c r="N121" s="76"/>
      <c r="O121" s="77"/>
      <c r="P121" s="125"/>
      <c r="Q121" s="126"/>
      <c r="R121" s="139">
        <v>9.01E-2</v>
      </c>
      <c r="S121" s="139">
        <v>0.10539999999999999</v>
      </c>
      <c r="T121" s="139">
        <v>4.6699999999999998E-2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27"/>
      <c r="AE121" s="125"/>
      <c r="AF121" s="125"/>
      <c r="AG121" s="47"/>
      <c r="AH121" s="76"/>
      <c r="AI121" s="77"/>
      <c r="AJ121" s="90"/>
    </row>
    <row r="122" spans="7:36" ht="15.75" x14ac:dyDescent="0.25">
      <c r="G122" s="75"/>
      <c r="H122" s="38" t="s">
        <v>412</v>
      </c>
      <c r="I122" s="76"/>
      <c r="J122" s="76"/>
      <c r="K122" s="76"/>
      <c r="L122" s="76"/>
      <c r="M122" s="76"/>
      <c r="N122" s="76"/>
      <c r="O122" s="77"/>
      <c r="P122" s="125"/>
      <c r="Q122" s="126"/>
      <c r="R122" s="137">
        <v>0.1</v>
      </c>
      <c r="S122" s="137">
        <v>0.1</v>
      </c>
      <c r="T122" s="137">
        <v>0.1</v>
      </c>
      <c r="U122" s="137">
        <v>0.1</v>
      </c>
      <c r="V122" s="137">
        <v>0.1</v>
      </c>
      <c r="W122" s="137">
        <v>0.1</v>
      </c>
      <c r="X122" s="137">
        <v>0.1</v>
      </c>
      <c r="Y122" s="137">
        <v>0.1</v>
      </c>
      <c r="Z122" s="137">
        <v>0.1</v>
      </c>
      <c r="AA122" s="137">
        <v>0.1</v>
      </c>
      <c r="AB122" s="137">
        <v>0.1</v>
      </c>
      <c r="AC122" s="137">
        <v>0.1</v>
      </c>
      <c r="AD122" s="127"/>
      <c r="AE122" s="137">
        <v>0.1</v>
      </c>
      <c r="AF122" s="125"/>
      <c r="AG122" s="47"/>
      <c r="AH122" s="76"/>
      <c r="AI122" s="77"/>
      <c r="AJ122" s="90"/>
    </row>
    <row r="123" spans="7:36" ht="15.75" x14ac:dyDescent="0.25">
      <c r="G123" s="75"/>
      <c r="H123" s="38" t="s">
        <v>406</v>
      </c>
      <c r="I123" s="76"/>
      <c r="J123" s="76"/>
      <c r="K123" s="76"/>
      <c r="L123" s="76"/>
      <c r="M123" s="76"/>
      <c r="N123" s="76"/>
      <c r="O123" s="77"/>
      <c r="P123" s="125"/>
      <c r="Q123" s="126"/>
      <c r="R123" s="138">
        <f>R121-R122</f>
        <v>-9.900000000000006E-3</v>
      </c>
      <c r="S123" s="138">
        <f>S121-S122</f>
        <v>5.3999999999999881E-3</v>
      </c>
      <c r="T123" s="138">
        <f>T121-T122</f>
        <v>-5.3300000000000007E-2</v>
      </c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27"/>
      <c r="AE123" s="125"/>
      <c r="AF123" s="125"/>
      <c r="AG123" s="47"/>
      <c r="AH123" s="76"/>
      <c r="AI123" s="77"/>
      <c r="AJ123" s="90"/>
    </row>
    <row r="124" spans="7:36" ht="15.75" x14ac:dyDescent="0.25">
      <c r="Q124" s="132"/>
      <c r="R124" s="130"/>
      <c r="S124" s="130"/>
      <c r="T124" s="130"/>
      <c r="U124" s="133"/>
      <c r="V124" s="133"/>
      <c r="W124" s="133"/>
      <c r="X124" s="130"/>
      <c r="Y124" s="130"/>
      <c r="Z124" s="130"/>
      <c r="AA124" s="130"/>
      <c r="AB124" s="130"/>
      <c r="AC124" s="130"/>
      <c r="AD124" s="127"/>
      <c r="AE124" s="130"/>
      <c r="AF124" s="130"/>
      <c r="AG124" s="47"/>
    </row>
    <row r="125" spans="7:36" ht="15.75" x14ac:dyDescent="0.25">
      <c r="H125" s="38" t="s">
        <v>413</v>
      </c>
      <c r="Q125" s="132"/>
      <c r="R125" s="140">
        <v>256248</v>
      </c>
      <c r="S125" s="201">
        <v>250107</v>
      </c>
      <c r="T125" s="202">
        <v>305940</v>
      </c>
      <c r="U125" s="131"/>
      <c r="V125" s="133"/>
      <c r="W125" s="133"/>
      <c r="X125" s="130"/>
      <c r="Y125" s="130"/>
      <c r="Z125" s="130"/>
      <c r="AA125" s="130"/>
      <c r="AB125" s="130"/>
      <c r="AC125" s="130"/>
      <c r="AD125" s="127"/>
      <c r="AE125" s="130"/>
      <c r="AF125" s="130"/>
      <c r="AG125" s="47"/>
    </row>
    <row r="126" spans="7:36" ht="15.75" x14ac:dyDescent="0.25">
      <c r="H126" s="38" t="s">
        <v>414</v>
      </c>
      <c r="Q126" s="132"/>
      <c r="R126" s="131">
        <v>275000</v>
      </c>
      <c r="S126" s="131">
        <v>275000</v>
      </c>
      <c r="T126" s="131">
        <v>275000</v>
      </c>
      <c r="U126" s="131">
        <v>293000</v>
      </c>
      <c r="V126" s="131">
        <v>293000</v>
      </c>
      <c r="W126" s="131">
        <v>293000</v>
      </c>
      <c r="X126" s="131">
        <v>300000</v>
      </c>
      <c r="Y126" s="131">
        <v>300000</v>
      </c>
      <c r="Z126" s="131">
        <v>300000</v>
      </c>
      <c r="AA126" s="131">
        <v>300000</v>
      </c>
      <c r="AB126" s="131">
        <v>300000</v>
      </c>
      <c r="AC126" s="131">
        <v>300000</v>
      </c>
      <c r="AD126" s="127"/>
      <c r="AE126" s="131">
        <v>300000</v>
      </c>
      <c r="AF126" s="130"/>
      <c r="AG126" s="47"/>
    </row>
    <row r="127" spans="7:36" ht="15.75" x14ac:dyDescent="0.25">
      <c r="G127" s="75"/>
      <c r="H127" s="38" t="s">
        <v>406</v>
      </c>
      <c r="I127" s="76"/>
      <c r="J127" s="76"/>
      <c r="K127" s="76"/>
      <c r="L127" s="76"/>
      <c r="M127" s="76"/>
      <c r="N127" s="76"/>
      <c r="O127" s="77"/>
      <c r="P127" s="125"/>
      <c r="Q127" s="126"/>
      <c r="R127" s="128">
        <f>R126-R125</f>
        <v>18752</v>
      </c>
      <c r="S127" s="128">
        <f>S126-S125</f>
        <v>24893</v>
      </c>
      <c r="T127" s="128">
        <f>T126-T125</f>
        <v>-30940</v>
      </c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7"/>
      <c r="AE127" s="125"/>
      <c r="AF127" s="125"/>
      <c r="AG127" s="47"/>
      <c r="AH127" s="76"/>
      <c r="AI127" s="77"/>
      <c r="AJ127" s="90"/>
    </row>
    <row r="128" spans="7:36" ht="15.75" x14ac:dyDescent="0.25">
      <c r="Q128" s="132"/>
      <c r="R128" s="131"/>
      <c r="S128" s="134"/>
      <c r="T128" s="135"/>
      <c r="U128" s="131"/>
      <c r="V128" s="133"/>
      <c r="W128" s="133"/>
      <c r="X128" s="130"/>
      <c r="Y128" s="130"/>
      <c r="Z128" s="130"/>
      <c r="AA128" s="130"/>
      <c r="AB128" s="130"/>
      <c r="AC128" s="130"/>
      <c r="AD128" s="127"/>
      <c r="AE128" s="130"/>
      <c r="AF128" s="130"/>
      <c r="AG128" s="47"/>
    </row>
    <row r="129" spans="1:36" s="78" customFormat="1" ht="15.75" x14ac:dyDescent="0.25">
      <c r="A129"/>
      <c r="B129"/>
      <c r="C129" s="74"/>
      <c r="D129" s="74"/>
      <c r="E129" s="74"/>
      <c r="F129" s="74"/>
      <c r="G129" s="74"/>
      <c r="H129" s="38"/>
      <c r="O129" s="79"/>
      <c r="P129" s="130"/>
      <c r="Q129" s="132"/>
      <c r="R129" s="131"/>
      <c r="S129" s="134"/>
      <c r="T129" s="135"/>
      <c r="U129" s="131"/>
      <c r="V129" s="133"/>
      <c r="W129" s="133"/>
      <c r="X129" s="130"/>
      <c r="Y129" s="130"/>
      <c r="Z129" s="130"/>
      <c r="AA129" s="130"/>
      <c r="AB129" s="130"/>
      <c r="AC129" s="130"/>
      <c r="AD129" s="127"/>
      <c r="AE129" s="130"/>
      <c r="AF129" s="130"/>
      <c r="AG129" s="47"/>
      <c r="AI129" s="79"/>
      <c r="AJ129"/>
    </row>
    <row r="130" spans="1:36" s="78" customFormat="1" ht="15.75" x14ac:dyDescent="0.25">
      <c r="A130"/>
      <c r="B130"/>
      <c r="C130" s="74"/>
      <c r="D130" s="74"/>
      <c r="E130" s="74"/>
      <c r="F130" s="74"/>
      <c r="G130" s="74"/>
      <c r="H130" s="38" t="s">
        <v>415</v>
      </c>
      <c r="O130" s="79"/>
      <c r="P130" s="130"/>
      <c r="Q130" s="132"/>
      <c r="R130" s="140">
        <v>4126</v>
      </c>
      <c r="S130" s="201">
        <v>74711</v>
      </c>
      <c r="T130" s="202">
        <v>-101036</v>
      </c>
      <c r="U130" s="131"/>
      <c r="V130" s="133"/>
      <c r="W130" s="133"/>
      <c r="X130" s="130"/>
      <c r="Y130" s="130"/>
      <c r="Z130" s="130"/>
      <c r="AA130" s="130"/>
      <c r="AB130" s="130"/>
      <c r="AC130" s="130"/>
      <c r="AD130" s="127"/>
      <c r="AE130" s="130"/>
      <c r="AF130" s="130"/>
      <c r="AG130" s="47"/>
      <c r="AI130" s="79"/>
      <c r="AJ130"/>
    </row>
    <row r="131" spans="1:36" s="78" customFormat="1" ht="15.75" x14ac:dyDescent="0.25">
      <c r="A131"/>
      <c r="B131"/>
      <c r="C131" s="74"/>
      <c r="D131" s="74"/>
      <c r="E131" s="74"/>
      <c r="F131" s="74"/>
      <c r="G131" s="74"/>
      <c r="H131" s="38" t="s">
        <v>416</v>
      </c>
      <c r="O131" s="79"/>
      <c r="P131" s="130"/>
      <c r="Q131" s="132"/>
      <c r="R131" s="131">
        <f>R118*0.1</f>
        <v>24539.487342857145</v>
      </c>
      <c r="S131" s="131">
        <f>S118*0.1</f>
        <v>28123.852117857146</v>
      </c>
      <c r="T131" s="131">
        <f>T118*0.1</f>
        <v>35153.603477857148</v>
      </c>
      <c r="U131" s="131">
        <f>U118*0.1</f>
        <v>37877.609327857142</v>
      </c>
      <c r="V131" s="131">
        <f t="shared" ref="V131:AB131" si="27">V118*0.1</f>
        <v>44460.099457857141</v>
      </c>
      <c r="W131" s="131">
        <f>W118*0.1</f>
        <v>48899.89441785714</v>
      </c>
      <c r="X131" s="131">
        <f t="shared" si="27"/>
        <v>46609.959717857135</v>
      </c>
      <c r="Y131" s="131">
        <f t="shared" si="27"/>
        <v>48031.886800000007</v>
      </c>
      <c r="Z131" s="131">
        <f t="shared" si="27"/>
        <v>47006.840430000004</v>
      </c>
      <c r="AA131" s="131">
        <f t="shared" si="27"/>
        <v>54142.156279999996</v>
      </c>
      <c r="AB131" s="131">
        <f t="shared" si="27"/>
        <v>48250.101940000008</v>
      </c>
      <c r="AC131" s="131">
        <f>AC118*0.1+2995</f>
        <v>36904.511950000007</v>
      </c>
      <c r="AD131" s="127"/>
      <c r="AE131" s="130">
        <f>SUM(R131:AC131)</f>
        <v>500000.00326000003</v>
      </c>
      <c r="AF131" s="130"/>
      <c r="AG131" s="47"/>
      <c r="AI131" s="79"/>
      <c r="AJ131"/>
    </row>
    <row r="132" spans="1:36" ht="15.75" x14ac:dyDescent="0.25">
      <c r="G132" s="75"/>
      <c r="H132" s="38" t="s">
        <v>406</v>
      </c>
      <c r="I132" s="76"/>
      <c r="J132" s="76"/>
      <c r="K132" s="76"/>
      <c r="L132" s="76"/>
      <c r="M132" s="76"/>
      <c r="N132" s="76"/>
      <c r="O132" s="77"/>
      <c r="P132" s="125"/>
      <c r="Q132" s="126"/>
      <c r="R132" s="128">
        <f>R130-R131</f>
        <v>-20413.487342857145</v>
      </c>
      <c r="S132" s="128">
        <f>S130-S131</f>
        <v>46587.147882142854</v>
      </c>
      <c r="T132" s="128">
        <f>T130-T131</f>
        <v>-136189.60347785713</v>
      </c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7"/>
      <c r="AE132" s="125"/>
      <c r="AF132" s="125"/>
      <c r="AG132" s="47"/>
      <c r="AH132" s="76"/>
      <c r="AI132" s="77"/>
      <c r="AJ132" s="90"/>
    </row>
    <row r="133" spans="1:36" s="78" customFormat="1" ht="15.75" x14ac:dyDescent="0.25">
      <c r="A133"/>
      <c r="B133"/>
      <c r="C133" s="74"/>
      <c r="D133" s="74"/>
      <c r="E133" s="74"/>
      <c r="F133" s="74"/>
      <c r="G133" s="74"/>
      <c r="H133" s="38"/>
      <c r="O133" s="79"/>
      <c r="P133" s="130"/>
      <c r="Q133" s="132"/>
      <c r="R133" s="131"/>
      <c r="S133" s="134"/>
      <c r="T133" s="135"/>
      <c r="U133" s="131"/>
      <c r="V133" s="133"/>
      <c r="W133" s="133"/>
      <c r="X133" s="130"/>
      <c r="Y133" s="130"/>
      <c r="Z133" s="130"/>
      <c r="AA133" s="130"/>
      <c r="AB133" s="130"/>
      <c r="AC133" s="130"/>
      <c r="AD133" s="132"/>
      <c r="AE133" s="130"/>
      <c r="AF133" s="130"/>
      <c r="AG133" s="47"/>
      <c r="AI133" s="79"/>
      <c r="AJ133"/>
    </row>
    <row r="134" spans="1:36" s="78" customFormat="1" ht="15.75" x14ac:dyDescent="0.25">
      <c r="A134"/>
      <c r="B134"/>
      <c r="C134" s="74"/>
      <c r="D134" s="74"/>
      <c r="E134" s="74"/>
      <c r="F134" s="74"/>
      <c r="G134" s="74"/>
      <c r="H134" s="38"/>
      <c r="O134" s="79"/>
      <c r="P134" s="130"/>
      <c r="Q134" s="79"/>
      <c r="R134" s="80"/>
      <c r="S134" s="3"/>
      <c r="T134" s="8"/>
      <c r="U134" s="80"/>
      <c r="V134" s="81"/>
      <c r="W134" s="81"/>
      <c r="AD134" s="79"/>
      <c r="AG134" s="47"/>
      <c r="AI134" s="79"/>
      <c r="AJ134"/>
    </row>
    <row r="135" spans="1:36" s="78" customFormat="1" ht="15.75" x14ac:dyDescent="0.25">
      <c r="A135"/>
      <c r="B135"/>
      <c r="C135" s="74"/>
      <c r="D135" s="74"/>
      <c r="E135" s="74"/>
      <c r="F135" s="74"/>
      <c r="G135" s="74"/>
      <c r="H135" s="38"/>
      <c r="O135" s="79"/>
      <c r="P135" s="130"/>
      <c r="Q135" s="79"/>
      <c r="R135" s="80"/>
      <c r="S135" s="3"/>
      <c r="T135" s="8"/>
      <c r="U135" s="80"/>
      <c r="V135" s="81"/>
      <c r="W135" s="81"/>
      <c r="AD135" s="79"/>
      <c r="AG135" s="47"/>
      <c r="AI135" s="79"/>
      <c r="AJ135"/>
    </row>
    <row r="136" spans="1:36" s="78" customFormat="1" ht="15.75" x14ac:dyDescent="0.25">
      <c r="A136"/>
      <c r="B136"/>
      <c r="C136" s="74"/>
      <c r="D136" s="74"/>
      <c r="E136" s="74"/>
      <c r="F136" s="74"/>
      <c r="G136" s="74"/>
      <c r="H136" s="38"/>
      <c r="O136" s="79"/>
      <c r="P136" s="130"/>
      <c r="Q136" s="79"/>
      <c r="R136" s="80"/>
      <c r="S136" s="3"/>
      <c r="T136" s="8"/>
      <c r="U136" s="80"/>
      <c r="V136" s="81"/>
      <c r="W136" s="81"/>
      <c r="AD136" s="79"/>
      <c r="AG136" s="47"/>
      <c r="AI136" s="79"/>
      <c r="AJ136"/>
    </row>
    <row r="137" spans="1:36" s="78" customFormat="1" ht="15.75" x14ac:dyDescent="0.25">
      <c r="A137"/>
      <c r="B137"/>
      <c r="C137" s="74"/>
      <c r="D137" s="74"/>
      <c r="E137" s="74"/>
      <c r="F137" s="74"/>
      <c r="G137" s="74"/>
      <c r="H137" s="38"/>
      <c r="O137" s="79"/>
      <c r="P137" s="130"/>
      <c r="Q137" s="79"/>
      <c r="R137" s="80"/>
      <c r="S137" s="3"/>
      <c r="T137" s="8"/>
      <c r="U137" s="80"/>
      <c r="V137" s="81"/>
      <c r="W137" s="81"/>
      <c r="AD137" s="79"/>
      <c r="AG137" s="47"/>
      <c r="AI137" s="79"/>
      <c r="AJ137"/>
    </row>
    <row r="138" spans="1:36" s="78" customFormat="1" ht="15.75" x14ac:dyDescent="0.25">
      <c r="A138"/>
      <c r="B138"/>
      <c r="C138" s="74"/>
      <c r="D138" s="74"/>
      <c r="E138" s="74"/>
      <c r="F138" s="74"/>
      <c r="G138" s="74"/>
      <c r="H138" s="38"/>
      <c r="O138" s="79"/>
      <c r="P138" s="130"/>
      <c r="Q138" s="79"/>
      <c r="R138" s="80"/>
      <c r="S138" s="3"/>
      <c r="T138" s="8"/>
      <c r="U138" s="80"/>
      <c r="V138" s="81"/>
      <c r="W138" s="81"/>
      <c r="AD138" s="79"/>
      <c r="AG138" s="47"/>
      <c r="AI138" s="79"/>
      <c r="AJ138"/>
    </row>
    <row r="139" spans="1:36" s="78" customFormat="1" ht="15.75" x14ac:dyDescent="0.25">
      <c r="A139"/>
      <c r="B139"/>
      <c r="C139" s="74"/>
      <c r="D139" s="74"/>
      <c r="E139" s="74"/>
      <c r="F139" s="74"/>
      <c r="G139" s="74"/>
      <c r="H139" s="38"/>
      <c r="O139" s="79"/>
      <c r="P139" s="130"/>
      <c r="Q139" s="79"/>
      <c r="R139" s="80"/>
      <c r="S139" s="3"/>
      <c r="T139" s="8"/>
      <c r="U139" s="80"/>
      <c r="V139" s="81"/>
      <c r="W139" s="81"/>
      <c r="AD139" s="79"/>
      <c r="AG139" s="79"/>
      <c r="AI139" s="79"/>
      <c r="AJ139"/>
    </row>
    <row r="140" spans="1:36" s="78" customFormat="1" x14ac:dyDescent="0.25">
      <c r="A140"/>
      <c r="B140"/>
      <c r="C140" s="74"/>
      <c r="D140" s="74"/>
      <c r="E140" s="74"/>
      <c r="F140" s="74"/>
      <c r="G140" s="74"/>
      <c r="H140" s="38"/>
      <c r="O140" s="79"/>
      <c r="P140" s="130"/>
      <c r="Q140" s="79"/>
      <c r="R140" s="80"/>
      <c r="S140" s="80"/>
      <c r="T140" s="80"/>
      <c r="U140" s="80"/>
      <c r="V140" s="81"/>
      <c r="W140" s="81"/>
      <c r="AD140" s="79"/>
      <c r="AG140" s="79"/>
      <c r="AI140" s="79"/>
      <c r="AJ140"/>
    </row>
  </sheetData>
  <mergeCells count="1">
    <mergeCell ref="R1:AC1"/>
  </mergeCells>
  <conditionalFormatting sqref="AH4:AH13 AH28:AH37 AH73 AH109 AH16:AH18 AH56:AH71 AH76:AH78 AH81:AH107 AH20:AH25 AH52 AH44:AH49">
    <cfRule type="cellIs" dxfId="1996" priority="114" operator="lessThan">
      <formula>I4</formula>
    </cfRule>
    <cfRule type="cellIs" dxfId="1995" priority="115" operator="greaterThan">
      <formula>I4</formula>
    </cfRule>
    <cfRule type="cellIs" dxfId="1994" priority="116" operator="equal">
      <formula>I4</formula>
    </cfRule>
  </conditionalFormatting>
  <conditionalFormatting sqref="AH39 AH41">
    <cfRule type="cellIs" dxfId="1993" priority="110" operator="greaterThan">
      <formula>$I$39</formula>
    </cfRule>
    <cfRule type="cellIs" dxfId="1992" priority="111" operator="lessThan">
      <formula>$I$39</formula>
    </cfRule>
    <cfRule type="cellIs" dxfId="1991" priority="112" operator="equal">
      <formula>$I$39</formula>
    </cfRule>
    <cfRule type="cellIs" dxfId="1990" priority="113" operator="equal">
      <formula>$P$39</formula>
    </cfRule>
  </conditionalFormatting>
  <conditionalFormatting sqref="E54 E124:E126 E128:E131 E133:E1048576 E56:E58 E30:E42 E1:E18 E27:E28 E60:E73 E76:E118 E20:E25 E51:E52 E44:E49">
    <cfRule type="cellIs" dxfId="1989" priority="108" operator="equal">
      <formula>"no"</formula>
    </cfRule>
    <cfRule type="cellIs" dxfId="1988" priority="109" operator="equal">
      <formula>"yes"</formula>
    </cfRule>
  </conditionalFormatting>
  <conditionalFormatting sqref="E29">
    <cfRule type="cellIs" dxfId="1987" priority="106" operator="equal">
      <formula>"no"</formula>
    </cfRule>
    <cfRule type="cellIs" dxfId="1986" priority="107" operator="equal">
      <formula>"yes"</formula>
    </cfRule>
  </conditionalFormatting>
  <conditionalFormatting sqref="E59">
    <cfRule type="cellIs" dxfId="1985" priority="104" operator="equal">
      <formula>"no"</formula>
    </cfRule>
    <cfRule type="cellIs" dxfId="1984" priority="105" operator="equal">
      <formula>"yes"</formula>
    </cfRule>
  </conditionalFormatting>
  <conditionalFormatting sqref="I4:I12 I73 I39:I41 I93:I106 I56:I70 I76:I88 I20:I25 I44:I49">
    <cfRule type="cellIs" dxfId="1983" priority="103" operator="equal">
      <formula>0</formula>
    </cfRule>
  </conditionalFormatting>
  <conditionalFormatting sqref="I15:I17">
    <cfRule type="cellIs" dxfId="1982" priority="102" operator="equal">
      <formula>0</formula>
    </cfRule>
  </conditionalFormatting>
  <conditionalFormatting sqref="AH15">
    <cfRule type="cellIs" dxfId="1981" priority="99" operator="lessThan">
      <formula>I15</formula>
    </cfRule>
    <cfRule type="cellIs" dxfId="1980" priority="100" operator="greaterThan">
      <formula>I15</formula>
    </cfRule>
    <cfRule type="cellIs" dxfId="1979" priority="101" operator="equal">
      <formula>I15</formula>
    </cfRule>
  </conditionalFormatting>
  <conditionalFormatting sqref="AH53">
    <cfRule type="cellIs" dxfId="1978" priority="91" operator="lessThan">
      <formula>I53</formula>
    </cfRule>
    <cfRule type="cellIs" dxfId="1977" priority="92" operator="greaterThan">
      <formula>I53</formula>
    </cfRule>
    <cfRule type="cellIs" dxfId="1976" priority="93" operator="equal">
      <formula>I53</formula>
    </cfRule>
  </conditionalFormatting>
  <conditionalFormatting sqref="E53">
    <cfRule type="cellIs" dxfId="1975" priority="89" operator="equal">
      <formula>"no"</formula>
    </cfRule>
    <cfRule type="cellIs" dxfId="1974" priority="90" operator="equal">
      <formula>"yes"</formula>
    </cfRule>
  </conditionalFormatting>
  <conditionalFormatting sqref="D124:D126 D128:D131 D133:D1048576 D1:D18 D27:D42 D56:D73 D76:D118 D20:D25 D51:D54 D44:D49">
    <cfRule type="cellIs" dxfId="1973" priority="88" operator="equal">
      <formula>"TBD"</formula>
    </cfRule>
  </conditionalFormatting>
  <conditionalFormatting sqref="R111:AC111">
    <cfRule type="cellIs" dxfId="1972" priority="65" operator="equal">
      <formula>0</formula>
    </cfRule>
    <cfRule type="cellIs" dxfId="1971" priority="86" operator="lessThan">
      <formula>0</formula>
    </cfRule>
    <cfRule type="cellIs" dxfId="1970" priority="87" operator="greaterThan">
      <formula>0</formula>
    </cfRule>
  </conditionalFormatting>
  <conditionalFormatting sqref="E119:E123">
    <cfRule type="cellIs" dxfId="1969" priority="84" operator="equal">
      <formula>"no"</formula>
    </cfRule>
    <cfRule type="cellIs" dxfId="1968" priority="85" operator="equal">
      <formula>"yes"</formula>
    </cfRule>
  </conditionalFormatting>
  <conditionalFormatting sqref="D119:D123">
    <cfRule type="cellIs" dxfId="1967" priority="83" operator="equal">
      <formula>"TBD"</formula>
    </cfRule>
  </conditionalFormatting>
  <conditionalFormatting sqref="R119:AC120">
    <cfRule type="cellIs" dxfId="1966" priority="81" operator="lessThan">
      <formula>0</formula>
    </cfRule>
    <cfRule type="cellIs" dxfId="1965" priority="82" operator="greaterThan">
      <formula>0</formula>
    </cfRule>
  </conditionalFormatting>
  <conditionalFormatting sqref="E127">
    <cfRule type="cellIs" dxfId="1964" priority="79" operator="equal">
      <formula>"no"</formula>
    </cfRule>
    <cfRule type="cellIs" dxfId="1963" priority="80" operator="equal">
      <formula>"yes"</formula>
    </cfRule>
  </conditionalFormatting>
  <conditionalFormatting sqref="D127">
    <cfRule type="cellIs" dxfId="1962" priority="78" operator="equal">
      <formula>"TBD"</formula>
    </cfRule>
  </conditionalFormatting>
  <conditionalFormatting sqref="R127:AC127">
    <cfRule type="cellIs" dxfId="1961" priority="76" operator="lessThan">
      <formula>0</formula>
    </cfRule>
    <cfRule type="cellIs" dxfId="1960" priority="77" operator="greaterThan">
      <formula>0</formula>
    </cfRule>
  </conditionalFormatting>
  <conditionalFormatting sqref="E132">
    <cfRule type="cellIs" dxfId="1959" priority="74" operator="equal">
      <formula>"no"</formula>
    </cfRule>
    <cfRule type="cellIs" dxfId="1958" priority="75" operator="equal">
      <formula>"yes"</formula>
    </cfRule>
  </conditionalFormatting>
  <conditionalFormatting sqref="D132">
    <cfRule type="cellIs" dxfId="1957" priority="73" operator="equal">
      <formula>"TBD"</formula>
    </cfRule>
  </conditionalFormatting>
  <conditionalFormatting sqref="R132:AC132">
    <cfRule type="cellIs" dxfId="1956" priority="71" operator="lessThan">
      <formula>0</formula>
    </cfRule>
    <cfRule type="cellIs" dxfId="1955" priority="72" operator="greaterThan">
      <formula>0</formula>
    </cfRule>
  </conditionalFormatting>
  <conditionalFormatting sqref="P111">
    <cfRule type="cellIs" dxfId="1954" priority="69" operator="lessThan">
      <formula>0</formula>
    </cfRule>
    <cfRule type="cellIs" dxfId="1953" priority="70" operator="greaterThan">
      <formula>0</formula>
    </cfRule>
  </conditionalFormatting>
  <conditionalFormatting sqref="R115:T115">
    <cfRule type="cellIs" dxfId="1952" priority="66" operator="equal">
      <formula>0</formula>
    </cfRule>
    <cfRule type="cellIs" dxfId="1951" priority="67" operator="lessThan">
      <formula>0</formula>
    </cfRule>
    <cfRule type="cellIs" dxfId="1950" priority="68" operator="greaterThan">
      <formula>0</formula>
    </cfRule>
  </conditionalFormatting>
  <conditionalFormatting sqref="R123:T123">
    <cfRule type="cellIs" dxfId="1949" priority="62" operator="lessThan">
      <formula>0</formula>
    </cfRule>
    <cfRule type="cellIs" dxfId="1948" priority="63" operator="equal">
      <formula>0</formula>
    </cfRule>
    <cfRule type="cellIs" dxfId="1947" priority="64" operator="greaterThan">
      <formula>0</formula>
    </cfRule>
  </conditionalFormatting>
  <conditionalFormatting sqref="AH55">
    <cfRule type="cellIs" dxfId="1946" priority="59" operator="lessThan">
      <formula>I55</formula>
    </cfRule>
    <cfRule type="cellIs" dxfId="1945" priority="60" operator="greaterThan">
      <formula>I55</formula>
    </cfRule>
    <cfRule type="cellIs" dxfId="1944" priority="61" operator="equal">
      <formula>I55</formula>
    </cfRule>
  </conditionalFormatting>
  <conditionalFormatting sqref="E55">
    <cfRule type="cellIs" dxfId="1943" priority="57" operator="equal">
      <formula>"no"</formula>
    </cfRule>
    <cfRule type="cellIs" dxfId="1942" priority="58" operator="equal">
      <formula>"yes"</formula>
    </cfRule>
  </conditionalFormatting>
  <conditionalFormatting sqref="I55">
    <cfRule type="cellIs" dxfId="1941" priority="56" operator="equal">
      <formula>0</formula>
    </cfRule>
  </conditionalFormatting>
  <conditionalFormatting sqref="D55">
    <cfRule type="cellIs" dxfId="1940" priority="55" operator="equal">
      <formula>"TBD"</formula>
    </cfRule>
  </conditionalFormatting>
  <conditionalFormatting sqref="AH42">
    <cfRule type="cellIs" dxfId="1939" priority="40" operator="lessThan">
      <formula>I42</formula>
    </cfRule>
    <cfRule type="cellIs" dxfId="1938" priority="41" operator="greaterThan">
      <formula>I42</formula>
    </cfRule>
    <cfRule type="cellIs" dxfId="1937" priority="42" operator="equal">
      <formula>I42</formula>
    </cfRule>
  </conditionalFormatting>
  <conditionalFormatting sqref="AH38">
    <cfRule type="cellIs" dxfId="1936" priority="52" operator="lessThan">
      <formula>I38</formula>
    </cfRule>
    <cfRule type="cellIs" dxfId="1935" priority="53" operator="greaterThan">
      <formula>I38</formula>
    </cfRule>
    <cfRule type="cellIs" dxfId="1934" priority="54" operator="equal">
      <formula>I38</formula>
    </cfRule>
  </conditionalFormatting>
  <conditionalFormatting sqref="AH79">
    <cfRule type="cellIs" dxfId="1933" priority="49" operator="lessThan">
      <formula>I79</formula>
    </cfRule>
    <cfRule type="cellIs" dxfId="1932" priority="50" operator="greaterThan">
      <formula>I79</formula>
    </cfRule>
    <cfRule type="cellIs" dxfId="1931" priority="51" operator="equal">
      <formula>I79</formula>
    </cfRule>
  </conditionalFormatting>
  <conditionalFormatting sqref="AH80">
    <cfRule type="cellIs" dxfId="1930" priority="46" operator="lessThan">
      <formula>I80</formula>
    </cfRule>
    <cfRule type="cellIs" dxfId="1929" priority="47" operator="greaterThan">
      <formula>I80</formula>
    </cfRule>
    <cfRule type="cellIs" dxfId="1928" priority="48" operator="equal">
      <formula>I80</formula>
    </cfRule>
  </conditionalFormatting>
  <conditionalFormatting sqref="AH40">
    <cfRule type="cellIs" dxfId="1927" priority="43" operator="lessThan">
      <formula>I40</formula>
    </cfRule>
    <cfRule type="cellIs" dxfId="1926" priority="44" operator="greaterThan">
      <formula>I40</formula>
    </cfRule>
    <cfRule type="cellIs" dxfId="1925" priority="45" operator="equal">
      <formula>I40</formula>
    </cfRule>
  </conditionalFormatting>
  <conditionalFormatting sqref="AH75">
    <cfRule type="cellIs" dxfId="1924" priority="37" operator="lessThan">
      <formula>I75</formula>
    </cfRule>
    <cfRule type="cellIs" dxfId="1923" priority="38" operator="greaterThan">
      <formula>I75</formula>
    </cfRule>
    <cfRule type="cellIs" dxfId="1922" priority="39" operator="equal">
      <formula>I75</formula>
    </cfRule>
  </conditionalFormatting>
  <conditionalFormatting sqref="E75">
    <cfRule type="cellIs" dxfId="1921" priority="35" operator="equal">
      <formula>"no"</formula>
    </cfRule>
    <cfRule type="cellIs" dxfId="1920" priority="36" operator="equal">
      <formula>"yes"</formula>
    </cfRule>
  </conditionalFormatting>
  <conditionalFormatting sqref="I75">
    <cfRule type="cellIs" dxfId="1919" priority="34" operator="equal">
      <formula>0</formula>
    </cfRule>
  </conditionalFormatting>
  <conditionalFormatting sqref="D75">
    <cfRule type="cellIs" dxfId="1918" priority="33" operator="equal">
      <formula>"TBD"</formula>
    </cfRule>
  </conditionalFormatting>
  <conditionalFormatting sqref="AH74">
    <cfRule type="cellIs" dxfId="1917" priority="30" operator="lessThan">
      <formula>I74</formula>
    </cfRule>
    <cfRule type="cellIs" dxfId="1916" priority="31" operator="greaterThan">
      <formula>I74</formula>
    </cfRule>
    <cfRule type="cellIs" dxfId="1915" priority="32" operator="equal">
      <formula>I74</formula>
    </cfRule>
  </conditionalFormatting>
  <conditionalFormatting sqref="E74">
    <cfRule type="cellIs" dxfId="1914" priority="28" operator="equal">
      <formula>"no"</formula>
    </cfRule>
    <cfRule type="cellIs" dxfId="1913" priority="29" operator="equal">
      <formula>"yes"</formula>
    </cfRule>
  </conditionalFormatting>
  <conditionalFormatting sqref="I74">
    <cfRule type="cellIs" dxfId="1912" priority="27" operator="equal">
      <formula>0</formula>
    </cfRule>
  </conditionalFormatting>
  <conditionalFormatting sqref="D74">
    <cfRule type="cellIs" dxfId="1911" priority="26" operator="equal">
      <formula>"TBD"</formula>
    </cfRule>
  </conditionalFormatting>
  <conditionalFormatting sqref="E19">
    <cfRule type="cellIs" dxfId="1910" priority="24" operator="equal">
      <formula>"no"</formula>
    </cfRule>
    <cfRule type="cellIs" dxfId="1909" priority="25" operator="equal">
      <formula>"yes"</formula>
    </cfRule>
  </conditionalFormatting>
  <conditionalFormatting sqref="D19">
    <cfRule type="cellIs" dxfId="1908" priority="23" operator="equal">
      <formula>"TBD"</formula>
    </cfRule>
  </conditionalFormatting>
  <conditionalFormatting sqref="AH26">
    <cfRule type="cellIs" dxfId="1907" priority="20" operator="lessThan">
      <formula>I26</formula>
    </cfRule>
    <cfRule type="cellIs" dxfId="1906" priority="21" operator="greaterThan">
      <formula>I26</formula>
    </cfRule>
    <cfRule type="cellIs" dxfId="1905" priority="22" operator="equal">
      <formula>I26</formula>
    </cfRule>
  </conditionalFormatting>
  <conditionalFormatting sqref="E26">
    <cfRule type="cellIs" dxfId="1904" priority="18" operator="equal">
      <formula>"no"</formula>
    </cfRule>
    <cfRule type="cellIs" dxfId="1903" priority="19" operator="equal">
      <formula>"yes"</formula>
    </cfRule>
  </conditionalFormatting>
  <conditionalFormatting sqref="D26">
    <cfRule type="cellIs" dxfId="1902" priority="17" operator="equal">
      <formula>"TBD"</formula>
    </cfRule>
  </conditionalFormatting>
  <conditionalFormatting sqref="E43:E47">
    <cfRule type="cellIs" dxfId="1901" priority="8" operator="equal">
      <formula>"no"</formula>
    </cfRule>
    <cfRule type="cellIs" dxfId="1900" priority="9" operator="equal">
      <formula>"yes"</formula>
    </cfRule>
  </conditionalFormatting>
  <conditionalFormatting sqref="D43:D47">
    <cfRule type="cellIs" dxfId="1899" priority="7" operator="equal">
      <formula>"TBD"</formula>
    </cfRule>
  </conditionalFormatting>
  <conditionalFormatting sqref="AH50">
    <cfRule type="cellIs" dxfId="1898" priority="4" operator="lessThan">
      <formula>I50</formula>
    </cfRule>
    <cfRule type="cellIs" dxfId="1897" priority="5" operator="greaterThan">
      <formula>I50</formula>
    </cfRule>
    <cfRule type="cellIs" dxfId="1896" priority="6" operator="equal">
      <formula>I50</formula>
    </cfRule>
  </conditionalFormatting>
  <conditionalFormatting sqref="E50">
    <cfRule type="cellIs" dxfId="1895" priority="2" operator="equal">
      <formula>"no"</formula>
    </cfRule>
    <cfRule type="cellIs" dxfId="1894" priority="3" operator="equal">
      <formula>"yes"</formula>
    </cfRule>
  </conditionalFormatting>
  <conditionalFormatting sqref="D50">
    <cfRule type="cellIs" dxfId="1893" priority="1" operator="equal">
      <formula>"TBD"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480CB-7B3C-4ED7-B676-560C639C568C}">
  <dimension ref="A1:AK143"/>
  <sheetViews>
    <sheetView zoomScale="72" zoomScaleNormal="72" workbookViewId="0">
      <pane xSplit="2" ySplit="2" topLeftCell="I3" activePane="bottomRight" state="frozen"/>
      <selection pane="topRight" activeCell="B1" sqref="B1"/>
      <selection pane="bottomLeft" activeCell="A3" sqref="A3"/>
      <selection pane="bottomRight" activeCell="X66" sqref="X66"/>
    </sheetView>
  </sheetViews>
  <sheetFormatPr defaultRowHeight="15" x14ac:dyDescent="0.25"/>
  <cols>
    <col min="1" max="1" width="12.42578125" customWidth="1"/>
    <col min="2" max="2" width="43.5703125" bestFit="1" customWidth="1"/>
    <col min="3" max="3" width="5.5703125" style="74" hidden="1" customWidth="1"/>
    <col min="4" max="5" width="11.5703125" style="74" hidden="1" customWidth="1"/>
    <col min="6" max="6" width="13.5703125" style="74" hidden="1" customWidth="1"/>
    <col min="7" max="7" width="12.5703125" style="74" hidden="1" customWidth="1"/>
    <col min="8" max="8" width="14.5703125" style="38" hidden="1" customWidth="1"/>
    <col min="9" max="9" width="18.5703125" style="78" customWidth="1"/>
    <col min="10" max="14" width="15.5703125" style="78" hidden="1" customWidth="1"/>
    <col min="15" max="15" width="4" style="79" customWidth="1"/>
    <col min="16" max="16" width="17.42578125" style="130" bestFit="1" customWidth="1"/>
    <col min="17" max="17" width="3.42578125" style="79" customWidth="1"/>
    <col min="18" max="20" width="19.5703125" style="78" customWidth="1"/>
    <col min="21" max="23" width="19.5703125" style="81" customWidth="1"/>
    <col min="24" max="29" width="19.5703125" style="78" customWidth="1"/>
    <col min="30" max="30" width="4" style="79" customWidth="1"/>
    <col min="31" max="31" width="18.42578125" style="78" customWidth="1"/>
    <col min="32" max="32" width="16.5703125" style="78" customWidth="1"/>
    <col min="33" max="33" width="3.42578125" style="79" customWidth="1"/>
    <col min="34" max="34" width="17.42578125" style="78" customWidth="1"/>
    <col min="35" max="35" width="3.42578125" style="79" customWidth="1"/>
    <col min="36" max="36" width="17.5703125" customWidth="1"/>
    <col min="37" max="37" width="8.5703125" customWidth="1"/>
  </cols>
  <sheetData>
    <row r="1" spans="1:36" s="36" customFormat="1" x14ac:dyDescent="0.25">
      <c r="C1" s="37"/>
      <c r="D1" s="37"/>
      <c r="E1" s="37"/>
      <c r="F1" s="37"/>
      <c r="G1" s="37"/>
      <c r="H1" s="38"/>
      <c r="I1" s="39"/>
      <c r="J1" s="39"/>
      <c r="K1" s="39"/>
      <c r="L1" s="39"/>
      <c r="M1" s="39"/>
      <c r="N1" s="39"/>
      <c r="O1" s="40"/>
      <c r="P1" s="188">
        <v>2020</v>
      </c>
      <c r="Q1" s="42"/>
      <c r="R1" s="526">
        <v>2021</v>
      </c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8"/>
      <c r="AD1" s="40"/>
      <c r="AE1" s="41">
        <v>2022</v>
      </c>
      <c r="AF1" s="43">
        <v>2023</v>
      </c>
      <c r="AG1" s="42"/>
      <c r="AH1" s="41"/>
      <c r="AI1" s="42"/>
    </row>
    <row r="2" spans="1:36" s="36" customFormat="1" ht="31.5" x14ac:dyDescent="0.25">
      <c r="A2" s="62"/>
      <c r="B2" s="63"/>
      <c r="C2" s="44" t="s">
        <v>342</v>
      </c>
      <c r="D2" s="44" t="s">
        <v>343</v>
      </c>
      <c r="E2" s="44" t="s">
        <v>344</v>
      </c>
      <c r="F2" s="44" t="s">
        <v>345</v>
      </c>
      <c r="G2" s="44" t="s">
        <v>346</v>
      </c>
      <c r="H2" s="45" t="s">
        <v>347</v>
      </c>
      <c r="I2" s="46" t="s">
        <v>348</v>
      </c>
      <c r="J2" s="46" t="s">
        <v>349</v>
      </c>
      <c r="K2" s="82" t="s">
        <v>350</v>
      </c>
      <c r="L2" s="82" t="s">
        <v>351</v>
      </c>
      <c r="M2" s="82" t="s">
        <v>350</v>
      </c>
      <c r="N2" s="82"/>
      <c r="O2" s="47"/>
      <c r="P2" s="129" t="s">
        <v>352</v>
      </c>
      <c r="Q2" s="47"/>
      <c r="R2" s="46" t="s">
        <v>353</v>
      </c>
      <c r="S2" s="46" t="s">
        <v>354</v>
      </c>
      <c r="T2" s="46" t="s">
        <v>355</v>
      </c>
      <c r="U2" s="48" t="s">
        <v>356</v>
      </c>
      <c r="V2" s="48" t="s">
        <v>357</v>
      </c>
      <c r="W2" s="46" t="s">
        <v>358</v>
      </c>
      <c r="X2" s="46" t="s">
        <v>359</v>
      </c>
      <c r="Y2" s="48" t="s">
        <v>360</v>
      </c>
      <c r="Z2" s="46" t="s">
        <v>361</v>
      </c>
      <c r="AA2" s="46" t="s">
        <v>362</v>
      </c>
      <c r="AB2" s="48" t="s">
        <v>363</v>
      </c>
      <c r="AC2" s="46" t="s">
        <v>364</v>
      </c>
      <c r="AD2" s="47"/>
      <c r="AE2" s="46" t="s">
        <v>352</v>
      </c>
      <c r="AF2" s="48" t="s">
        <v>352</v>
      </c>
      <c r="AG2" s="47"/>
      <c r="AH2" s="46" t="s">
        <v>365</v>
      </c>
      <c r="AI2" s="47"/>
      <c r="AJ2" s="49" t="s">
        <v>366</v>
      </c>
    </row>
    <row r="3" spans="1:36" s="36" customFormat="1" ht="15.75" x14ac:dyDescent="0.25">
      <c r="A3" s="106" t="s">
        <v>400</v>
      </c>
      <c r="B3" s="107"/>
      <c r="C3" s="101" t="s">
        <v>368</v>
      </c>
      <c r="D3" s="102"/>
      <c r="E3" s="102"/>
      <c r="F3" s="102"/>
      <c r="G3" s="102"/>
      <c r="H3" s="84"/>
      <c r="I3" s="103"/>
      <c r="J3" s="103"/>
      <c r="K3" s="103"/>
      <c r="L3" s="103"/>
      <c r="M3" s="103"/>
      <c r="N3" s="103"/>
      <c r="O3" s="47"/>
      <c r="P3" s="85"/>
      <c r="Q3" s="47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47"/>
      <c r="AE3" s="103"/>
      <c r="AF3" s="103"/>
      <c r="AG3" s="47"/>
      <c r="AH3" s="103"/>
      <c r="AI3" s="51"/>
    </row>
    <row r="4" spans="1:36" s="36" customFormat="1" ht="15.75" x14ac:dyDescent="0.25">
      <c r="A4" s="104" t="s">
        <v>288</v>
      </c>
      <c r="B4" s="105" t="s">
        <v>289</v>
      </c>
      <c r="C4" s="52" t="s">
        <v>368</v>
      </c>
      <c r="D4" s="52" t="s">
        <v>369</v>
      </c>
      <c r="E4" s="52" t="s">
        <v>370</v>
      </c>
      <c r="F4" s="87" t="e">
        <f>#REF!</f>
        <v>#REF!</v>
      </c>
      <c r="G4" s="87" t="e">
        <f>#REF!</f>
        <v>#REF!</v>
      </c>
      <c r="H4" s="88" t="e">
        <f t="shared" ref="H4:H17" si="0">((G4-F4)/7)/4.3</f>
        <v>#REF!</v>
      </c>
      <c r="I4" s="181">
        <v>845876</v>
      </c>
      <c r="J4" s="53"/>
      <c r="K4" s="53"/>
      <c r="L4" s="53"/>
      <c r="M4" s="53"/>
      <c r="N4" s="53"/>
      <c r="O4" s="47"/>
      <c r="P4" s="115">
        <v>628337</v>
      </c>
      <c r="Q4" s="47"/>
      <c r="R4" s="115">
        <v>137155</v>
      </c>
      <c r="S4" s="177">
        <v>19492</v>
      </c>
      <c r="T4" s="115">
        <v>60892</v>
      </c>
      <c r="U4" s="242">
        <v>0</v>
      </c>
      <c r="V4" s="115">
        <v>0</v>
      </c>
      <c r="W4" s="115">
        <v>0</v>
      </c>
      <c r="X4" s="58">
        <v>0</v>
      </c>
      <c r="Y4" s="53"/>
      <c r="Z4" s="53"/>
      <c r="AA4" s="53"/>
      <c r="AB4" s="53"/>
      <c r="AC4" s="53"/>
      <c r="AD4" s="47"/>
      <c r="AE4" s="53"/>
      <c r="AF4" s="53"/>
      <c r="AG4" s="47"/>
      <c r="AH4" s="53">
        <f>SUM(P4:AG4)</f>
        <v>845876</v>
      </c>
      <c r="AI4" s="51"/>
      <c r="AJ4" s="55">
        <f t="shared" ref="AJ4:AJ22" si="1">I4-AH4</f>
        <v>0</v>
      </c>
    </row>
    <row r="5" spans="1:36" s="36" customFormat="1" ht="15.75" x14ac:dyDescent="0.25">
      <c r="A5" s="56" t="s">
        <v>292</v>
      </c>
      <c r="B5" s="57" t="s">
        <v>293</v>
      </c>
      <c r="C5" s="52" t="s">
        <v>368</v>
      </c>
      <c r="D5" s="52" t="s">
        <v>369</v>
      </c>
      <c r="E5" s="52" t="s">
        <v>370</v>
      </c>
      <c r="F5" s="87" t="e">
        <f>#REF!</f>
        <v>#REF!</v>
      </c>
      <c r="G5" s="87" t="e">
        <f>#REF!</f>
        <v>#REF!</v>
      </c>
      <c r="H5" s="88" t="e">
        <f t="shared" si="0"/>
        <v>#REF!</v>
      </c>
      <c r="I5" s="181">
        <v>303150</v>
      </c>
      <c r="J5" s="53"/>
      <c r="K5" s="53"/>
      <c r="L5" s="53"/>
      <c r="M5" s="53"/>
      <c r="N5" s="53"/>
      <c r="O5" s="47"/>
      <c r="P5" s="115">
        <v>162612</v>
      </c>
      <c r="Q5" s="47"/>
      <c r="R5" s="115">
        <v>95646</v>
      </c>
      <c r="S5" s="177">
        <v>33342</v>
      </c>
      <c r="T5" s="115">
        <v>5713</v>
      </c>
      <c r="U5" s="242">
        <v>5837</v>
      </c>
      <c r="V5" s="115">
        <v>0</v>
      </c>
      <c r="W5" s="115">
        <v>0</v>
      </c>
      <c r="X5" s="53"/>
      <c r="Y5" s="53"/>
      <c r="Z5" s="53"/>
      <c r="AA5" s="53"/>
      <c r="AB5" s="53"/>
      <c r="AC5" s="53"/>
      <c r="AD5" s="47"/>
      <c r="AE5" s="53"/>
      <c r="AF5" s="53"/>
      <c r="AG5" s="47"/>
      <c r="AH5" s="53">
        <f t="shared" ref="AH5:AH14" si="2">SUM(P5:AG5)</f>
        <v>303150</v>
      </c>
      <c r="AI5" s="51"/>
      <c r="AJ5" s="55">
        <f t="shared" si="1"/>
        <v>0</v>
      </c>
    </row>
    <row r="6" spans="1:36" s="36" customFormat="1" ht="15.75" x14ac:dyDescent="0.25">
      <c r="A6" s="56" t="s">
        <v>295</v>
      </c>
      <c r="B6" s="57" t="s">
        <v>296</v>
      </c>
      <c r="C6" s="52" t="s">
        <v>368</v>
      </c>
      <c r="D6" s="52" t="s">
        <v>369</v>
      </c>
      <c r="E6" s="52" t="s">
        <v>370</v>
      </c>
      <c r="F6" s="87" t="e">
        <f>#REF!</f>
        <v>#REF!</v>
      </c>
      <c r="G6" s="87" t="e">
        <f>#REF!</f>
        <v>#REF!</v>
      </c>
      <c r="H6" s="88" t="e">
        <f t="shared" si="0"/>
        <v>#REF!</v>
      </c>
      <c r="I6" s="181">
        <v>222517</v>
      </c>
      <c r="J6" s="53"/>
      <c r="K6" s="53"/>
      <c r="L6" s="53"/>
      <c r="M6" s="53"/>
      <c r="N6" s="53"/>
      <c r="O6" s="47"/>
      <c r="P6" s="115">
        <v>131745</v>
      </c>
      <c r="Q6" s="47"/>
      <c r="R6" s="115">
        <v>62828</v>
      </c>
      <c r="S6" s="177">
        <v>27944</v>
      </c>
      <c r="T6" s="115">
        <v>0</v>
      </c>
      <c r="U6" s="115">
        <v>0</v>
      </c>
      <c r="V6" s="115">
        <v>0</v>
      </c>
      <c r="W6" s="115">
        <v>0</v>
      </c>
      <c r="X6" s="53"/>
      <c r="Y6" s="53"/>
      <c r="Z6" s="53"/>
      <c r="AA6" s="53"/>
      <c r="AB6" s="53"/>
      <c r="AC6" s="53"/>
      <c r="AD6" s="47"/>
      <c r="AE6" s="53"/>
      <c r="AF6" s="53"/>
      <c r="AG6" s="47"/>
      <c r="AH6" s="53">
        <f t="shared" si="2"/>
        <v>222517</v>
      </c>
      <c r="AI6" s="51"/>
      <c r="AJ6" s="55">
        <f t="shared" si="1"/>
        <v>0</v>
      </c>
    </row>
    <row r="7" spans="1:36" s="36" customFormat="1" ht="15.75" x14ac:dyDescent="0.25">
      <c r="A7" s="34" t="s">
        <v>166</v>
      </c>
      <c r="B7" s="35" t="s">
        <v>168</v>
      </c>
      <c r="C7" s="52" t="s">
        <v>45</v>
      </c>
      <c r="D7" s="52" t="s">
        <v>371</v>
      </c>
      <c r="E7" s="52" t="s">
        <v>320</v>
      </c>
      <c r="F7" s="87" t="e">
        <f>#REF!</f>
        <v>#REF!</v>
      </c>
      <c r="G7" s="87">
        <v>44508</v>
      </c>
      <c r="H7" s="88" t="e">
        <f>((G7-F7)/7)/4.3</f>
        <v>#REF!</v>
      </c>
      <c r="I7" s="181">
        <v>1181870</v>
      </c>
      <c r="J7" s="53"/>
      <c r="K7" s="53"/>
      <c r="L7" s="53"/>
      <c r="M7" s="53"/>
      <c r="N7" s="53"/>
      <c r="O7" s="47"/>
      <c r="P7" s="115">
        <v>0</v>
      </c>
      <c r="Q7" s="47"/>
      <c r="R7" s="115">
        <v>0</v>
      </c>
      <c r="S7" s="115">
        <v>0</v>
      </c>
      <c r="T7" s="115">
        <v>0</v>
      </c>
      <c r="U7" s="115">
        <v>0</v>
      </c>
      <c r="V7" s="115">
        <v>154842</v>
      </c>
      <c r="W7" s="115">
        <v>139424</v>
      </c>
      <c r="X7" s="54">
        <v>150000</v>
      </c>
      <c r="Y7" s="54">
        <v>150000</v>
      </c>
      <c r="Z7" s="54">
        <v>150000</v>
      </c>
      <c r="AA7" s="54">
        <v>150000</v>
      </c>
      <c r="AB7" s="54">
        <v>150000</v>
      </c>
      <c r="AC7" s="54">
        <v>137604</v>
      </c>
      <c r="AD7" s="47"/>
      <c r="AE7" s="53"/>
      <c r="AF7" s="53"/>
      <c r="AG7" s="47"/>
      <c r="AH7" s="53">
        <f>SUM(P7:AG7)</f>
        <v>1181870</v>
      </c>
      <c r="AI7" s="51"/>
      <c r="AJ7" s="55">
        <f>I7-AH7</f>
        <v>0</v>
      </c>
    </row>
    <row r="8" spans="1:36" s="36" customFormat="1" ht="15.75" x14ac:dyDescent="0.25">
      <c r="A8" s="56" t="s">
        <v>23</v>
      </c>
      <c r="B8" s="57" t="s">
        <v>25</v>
      </c>
      <c r="C8" s="52" t="s">
        <v>368</v>
      </c>
      <c r="D8" s="52" t="s">
        <v>369</v>
      </c>
      <c r="E8" s="52" t="s">
        <v>370</v>
      </c>
      <c r="F8" s="87">
        <v>44144</v>
      </c>
      <c r="G8" s="87">
        <v>44386</v>
      </c>
      <c r="H8" s="88">
        <f t="shared" si="0"/>
        <v>8.0398671096345513</v>
      </c>
      <c r="I8" s="181">
        <v>1307434</v>
      </c>
      <c r="J8" s="53"/>
      <c r="K8" s="53"/>
      <c r="L8" s="53"/>
      <c r="M8" s="53"/>
      <c r="N8" s="53"/>
      <c r="O8" s="47"/>
      <c r="P8" s="115">
        <v>244435</v>
      </c>
      <c r="Q8" s="47"/>
      <c r="R8" s="115">
        <v>181308</v>
      </c>
      <c r="S8" s="115">
        <v>16313</v>
      </c>
      <c r="T8" s="115">
        <v>286477</v>
      </c>
      <c r="U8" s="242">
        <v>175065</v>
      </c>
      <c r="V8" s="115">
        <v>254689</v>
      </c>
      <c r="W8" s="115">
        <v>149147</v>
      </c>
      <c r="X8" s="58"/>
      <c r="Y8" s="53"/>
      <c r="Z8" s="53"/>
      <c r="AA8" s="53"/>
      <c r="AB8" s="53"/>
      <c r="AC8" s="53"/>
      <c r="AD8" s="47"/>
      <c r="AE8" s="53"/>
      <c r="AF8" s="53"/>
      <c r="AG8" s="47"/>
      <c r="AH8" s="53">
        <f t="shared" si="2"/>
        <v>1307434</v>
      </c>
      <c r="AI8" s="51"/>
      <c r="AJ8" s="55">
        <f t="shared" si="1"/>
        <v>0</v>
      </c>
    </row>
    <row r="9" spans="1:36" s="36" customFormat="1" ht="15.75" x14ac:dyDescent="0.25">
      <c r="A9" s="56" t="s">
        <v>31</v>
      </c>
      <c r="B9" s="57" t="s">
        <v>32</v>
      </c>
      <c r="C9" s="52" t="s">
        <v>368</v>
      </c>
      <c r="D9" s="52" t="s">
        <v>369</v>
      </c>
      <c r="E9" s="52" t="s">
        <v>370</v>
      </c>
      <c r="F9" s="87">
        <v>44144</v>
      </c>
      <c r="G9" s="87">
        <v>44386</v>
      </c>
      <c r="H9" s="88">
        <f t="shared" si="0"/>
        <v>8.0398671096345513</v>
      </c>
      <c r="I9" s="181">
        <v>267573</v>
      </c>
      <c r="J9" s="53"/>
      <c r="K9" s="53"/>
      <c r="L9" s="53"/>
      <c r="M9" s="53"/>
      <c r="N9" s="53"/>
      <c r="O9" s="47"/>
      <c r="P9" s="115">
        <v>46929</v>
      </c>
      <c r="Q9" s="47"/>
      <c r="R9" s="115">
        <v>38525</v>
      </c>
      <c r="S9" s="115">
        <v>0</v>
      </c>
      <c r="T9" s="115">
        <v>45735</v>
      </c>
      <c r="U9" s="242">
        <v>40858</v>
      </c>
      <c r="V9" s="115">
        <f>6750+26297</f>
        <v>33047</v>
      </c>
      <c r="W9" s="115">
        <v>43566</v>
      </c>
      <c r="X9" s="54">
        <v>18913</v>
      </c>
      <c r="Y9" s="53"/>
      <c r="Z9" s="53"/>
      <c r="AA9" s="53"/>
      <c r="AB9" s="53"/>
      <c r="AC9" s="53"/>
      <c r="AD9" s="47"/>
      <c r="AE9" s="53"/>
      <c r="AF9" s="53"/>
      <c r="AG9" s="47"/>
      <c r="AH9" s="53">
        <f t="shared" si="2"/>
        <v>267573</v>
      </c>
      <c r="AI9" s="51"/>
      <c r="AJ9" s="218">
        <f t="shared" si="1"/>
        <v>0</v>
      </c>
    </row>
    <row r="10" spans="1:36" s="36" customFormat="1" ht="15.75" x14ac:dyDescent="0.25">
      <c r="A10" s="56" t="s">
        <v>33</v>
      </c>
      <c r="B10" s="57" t="s">
        <v>34</v>
      </c>
      <c r="C10" s="52" t="s">
        <v>368</v>
      </c>
      <c r="D10" s="52" t="s">
        <v>369</v>
      </c>
      <c r="E10" s="52" t="s">
        <v>370</v>
      </c>
      <c r="F10" s="87">
        <v>44144</v>
      </c>
      <c r="G10" s="87">
        <v>44386</v>
      </c>
      <c r="H10" s="88">
        <f t="shared" si="0"/>
        <v>8.0398671096345513</v>
      </c>
      <c r="I10" s="181">
        <v>231276</v>
      </c>
      <c r="J10" s="53"/>
      <c r="K10" s="53"/>
      <c r="L10" s="53"/>
      <c r="M10" s="53"/>
      <c r="N10" s="53"/>
      <c r="O10" s="47"/>
      <c r="P10" s="115">
        <v>34010</v>
      </c>
      <c r="Q10" s="47"/>
      <c r="R10" s="115">
        <v>31345</v>
      </c>
      <c r="S10" s="115">
        <v>0</v>
      </c>
      <c r="T10" s="115">
        <v>42608</v>
      </c>
      <c r="U10" s="242">
        <v>27037</v>
      </c>
      <c r="V10" s="115">
        <f>9333+19266</f>
        <v>28599</v>
      </c>
      <c r="W10" s="115">
        <v>46383</v>
      </c>
      <c r="X10" s="54">
        <v>21294</v>
      </c>
      <c r="Y10" s="53"/>
      <c r="Z10" s="53"/>
      <c r="AA10" s="53"/>
      <c r="AB10" s="53"/>
      <c r="AC10" s="53"/>
      <c r="AD10" s="47"/>
      <c r="AE10" s="53"/>
      <c r="AF10" s="53"/>
      <c r="AG10" s="47"/>
      <c r="AH10" s="53">
        <f t="shared" si="2"/>
        <v>231276</v>
      </c>
      <c r="AI10" s="51"/>
      <c r="AJ10" s="218">
        <f t="shared" si="1"/>
        <v>0</v>
      </c>
    </row>
    <row r="11" spans="1:36" s="36" customFormat="1" ht="15.75" x14ac:dyDescent="0.25">
      <c r="A11" s="56" t="s">
        <v>298</v>
      </c>
      <c r="B11" s="57" t="s">
        <v>299</v>
      </c>
      <c r="C11" s="52"/>
      <c r="D11" s="52"/>
      <c r="E11" s="52"/>
      <c r="F11" s="87"/>
      <c r="G11" s="87"/>
      <c r="H11" s="88"/>
      <c r="I11" s="181"/>
      <c r="J11" s="53"/>
      <c r="K11" s="53"/>
      <c r="L11" s="53"/>
      <c r="M11" s="53"/>
      <c r="N11" s="53"/>
      <c r="O11" s="47"/>
      <c r="P11" s="115">
        <v>0</v>
      </c>
      <c r="Q11" s="47"/>
      <c r="R11" s="115">
        <v>0</v>
      </c>
      <c r="S11" s="115">
        <v>0</v>
      </c>
      <c r="T11" s="115">
        <v>0</v>
      </c>
      <c r="U11" s="242">
        <v>0</v>
      </c>
      <c r="V11" s="115">
        <v>0</v>
      </c>
      <c r="W11" s="115">
        <v>0</v>
      </c>
      <c r="X11" s="58"/>
      <c r="Y11" s="53"/>
      <c r="Z11" s="53"/>
      <c r="AA11" s="53"/>
      <c r="AB11" s="53"/>
      <c r="AC11" s="53"/>
      <c r="AD11" s="47"/>
      <c r="AE11" s="53"/>
      <c r="AF11" s="53"/>
      <c r="AG11" s="47"/>
      <c r="AH11" s="53">
        <f t="shared" si="2"/>
        <v>0</v>
      </c>
      <c r="AI11" s="51"/>
      <c r="AJ11" s="218">
        <f t="shared" si="1"/>
        <v>0</v>
      </c>
    </row>
    <row r="12" spans="1:36" s="36" customFormat="1" ht="15.75" x14ac:dyDescent="0.25">
      <c r="A12" s="56" t="s">
        <v>35</v>
      </c>
      <c r="B12" s="57" t="s">
        <v>36</v>
      </c>
      <c r="C12" s="52" t="s">
        <v>368</v>
      </c>
      <c r="D12" s="52" t="s">
        <v>401</v>
      </c>
      <c r="E12" s="52" t="s">
        <v>370</v>
      </c>
      <c r="F12" s="87">
        <v>44241</v>
      </c>
      <c r="G12" s="87">
        <v>44439</v>
      </c>
      <c r="H12" s="88">
        <f t="shared" si="0"/>
        <v>6.5780730897009967</v>
      </c>
      <c r="I12" s="181">
        <v>984546</v>
      </c>
      <c r="J12" s="53"/>
      <c r="K12" s="53"/>
      <c r="L12" s="53"/>
      <c r="M12" s="53"/>
      <c r="N12" s="53"/>
      <c r="O12" s="47"/>
      <c r="P12" s="115">
        <v>230830</v>
      </c>
      <c r="Q12" s="47"/>
      <c r="R12" s="115">
        <v>155142</v>
      </c>
      <c r="S12" s="115">
        <v>20934</v>
      </c>
      <c r="T12" s="115">
        <v>247073</v>
      </c>
      <c r="U12" s="242">
        <v>88548</v>
      </c>
      <c r="V12" s="115">
        <f>14953+98288</f>
        <v>113241</v>
      </c>
      <c r="W12" s="115">
        <v>61708</v>
      </c>
      <c r="X12" s="54">
        <v>67070</v>
      </c>
      <c r="Y12" s="58"/>
      <c r="Z12" s="53"/>
      <c r="AA12" s="53"/>
      <c r="AB12" s="53"/>
      <c r="AC12" s="53"/>
      <c r="AD12" s="47"/>
      <c r="AE12" s="53"/>
      <c r="AF12" s="53"/>
      <c r="AG12" s="47"/>
      <c r="AH12" s="53">
        <f t="shared" si="2"/>
        <v>984546</v>
      </c>
      <c r="AI12" s="51"/>
      <c r="AJ12" s="55">
        <f t="shared" si="1"/>
        <v>0</v>
      </c>
    </row>
    <row r="13" spans="1:36" s="36" customFormat="1" ht="15.75" x14ac:dyDescent="0.25">
      <c r="A13" s="34" t="s">
        <v>170</v>
      </c>
      <c r="B13" s="35" t="s">
        <v>171</v>
      </c>
      <c r="C13" s="52" t="s">
        <v>45</v>
      </c>
      <c r="D13" s="52" t="s">
        <v>371</v>
      </c>
      <c r="E13" s="52" t="s">
        <v>320</v>
      </c>
      <c r="F13" s="52">
        <v>44319</v>
      </c>
      <c r="G13" s="52">
        <v>44559</v>
      </c>
      <c r="H13" s="50">
        <f>((G13-F13)/7)/4.3</f>
        <v>7.9734219269102988</v>
      </c>
      <c r="I13" s="182">
        <v>1051400</v>
      </c>
      <c r="J13" s="53"/>
      <c r="K13" s="53"/>
      <c r="L13" s="53"/>
      <c r="M13" s="53"/>
      <c r="N13" s="53"/>
      <c r="O13" s="47"/>
      <c r="P13" s="115">
        <v>0</v>
      </c>
      <c r="Q13" s="47"/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f>111250</f>
        <v>111250</v>
      </c>
      <c r="X13" s="54">
        <v>150000</v>
      </c>
      <c r="Y13" s="54">
        <v>175000</v>
      </c>
      <c r="Z13" s="54">
        <v>175000</v>
      </c>
      <c r="AA13" s="54">
        <v>200000</v>
      </c>
      <c r="AB13" s="54">
        <v>200000</v>
      </c>
      <c r="AC13" s="54">
        <v>40150</v>
      </c>
      <c r="AD13" s="47"/>
      <c r="AE13" s="53"/>
      <c r="AF13" s="53"/>
      <c r="AG13" s="47"/>
      <c r="AH13" s="53">
        <f>SUM(P13:AG13)</f>
        <v>1051400</v>
      </c>
      <c r="AI13" s="51"/>
      <c r="AJ13" s="218">
        <f>I13-AH13</f>
        <v>0</v>
      </c>
    </row>
    <row r="14" spans="1:36" s="36" customFormat="1" ht="15.75" x14ac:dyDescent="0.25">
      <c r="A14" s="34" t="s">
        <v>41</v>
      </c>
      <c r="B14" s="35" t="s">
        <v>42</v>
      </c>
      <c r="C14" s="52" t="s">
        <v>368</v>
      </c>
      <c r="D14" s="52" t="s">
        <v>371</v>
      </c>
      <c r="E14" s="52" t="s">
        <v>370</v>
      </c>
      <c r="F14" s="87">
        <v>44256</v>
      </c>
      <c r="G14" s="87">
        <v>44406</v>
      </c>
      <c r="H14" s="88">
        <f t="shared" si="0"/>
        <v>4.9833887043189371</v>
      </c>
      <c r="I14" s="181">
        <v>723063</v>
      </c>
      <c r="J14" s="53"/>
      <c r="K14" s="53"/>
      <c r="L14" s="53"/>
      <c r="M14" s="53"/>
      <c r="N14" s="53"/>
      <c r="O14" s="47"/>
      <c r="P14" s="115">
        <v>0</v>
      </c>
      <c r="Q14" s="47"/>
      <c r="R14" s="115">
        <v>0</v>
      </c>
      <c r="S14" s="115">
        <v>0</v>
      </c>
      <c r="T14" s="115">
        <v>79004</v>
      </c>
      <c r="U14" s="242">
        <v>201430</v>
      </c>
      <c r="V14" s="115">
        <f>30182+141103</f>
        <v>171285</v>
      </c>
      <c r="W14" s="115">
        <v>187324</v>
      </c>
      <c r="X14" s="54">
        <v>84020</v>
      </c>
      <c r="Y14" s="58"/>
      <c r="Z14" s="58"/>
      <c r="AA14" s="58"/>
      <c r="AB14" s="58"/>
      <c r="AC14" s="53"/>
      <c r="AD14" s="47"/>
      <c r="AE14" s="53"/>
      <c r="AF14" s="53"/>
      <c r="AG14" s="47"/>
      <c r="AH14" s="53">
        <f t="shared" si="2"/>
        <v>723063</v>
      </c>
      <c r="AI14" s="51"/>
      <c r="AJ14" s="218">
        <f t="shared" si="1"/>
        <v>0</v>
      </c>
    </row>
    <row r="15" spans="1:36" s="36" customFormat="1" ht="15.75" x14ac:dyDescent="0.25">
      <c r="A15" s="111" t="s">
        <v>174</v>
      </c>
      <c r="B15" s="112" t="s">
        <v>175</v>
      </c>
      <c r="C15" s="52" t="s">
        <v>45</v>
      </c>
      <c r="D15" s="52" t="s">
        <v>371</v>
      </c>
      <c r="E15" s="52" t="s">
        <v>320</v>
      </c>
      <c r="F15" s="52">
        <v>44317</v>
      </c>
      <c r="G15" s="52">
        <v>44497</v>
      </c>
      <c r="H15" s="50">
        <f>((G15-F15)/7)/4.3</f>
        <v>5.9800664451827243</v>
      </c>
      <c r="I15" s="182">
        <v>1367414</v>
      </c>
      <c r="J15" s="53"/>
      <c r="K15" s="53"/>
      <c r="L15" s="53"/>
      <c r="M15" s="53"/>
      <c r="N15" s="53"/>
      <c r="O15" s="47"/>
      <c r="P15" s="115">
        <v>0</v>
      </c>
      <c r="Q15" s="47"/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54">
        <v>125000</v>
      </c>
      <c r="Y15" s="54">
        <v>150000</v>
      </c>
      <c r="Z15" s="54">
        <v>175000</v>
      </c>
      <c r="AA15" s="54">
        <v>175000</v>
      </c>
      <c r="AB15" s="54">
        <v>175000</v>
      </c>
      <c r="AC15" s="54">
        <v>175000</v>
      </c>
      <c r="AD15" s="47"/>
      <c r="AE15" s="54">
        <v>392414</v>
      </c>
      <c r="AF15" s="53"/>
      <c r="AG15" s="47"/>
      <c r="AH15" s="53">
        <f>SUM(P15:AG15)</f>
        <v>1367414</v>
      </c>
      <c r="AI15" s="51"/>
      <c r="AJ15" s="218">
        <f>I15-AH15</f>
        <v>0</v>
      </c>
    </row>
    <row r="16" spans="1:36" s="36" customFormat="1" ht="15.75" x14ac:dyDescent="0.25">
      <c r="A16" s="113" t="s">
        <v>176</v>
      </c>
      <c r="B16" s="114" t="s">
        <v>177</v>
      </c>
      <c r="C16" s="52" t="s">
        <v>45</v>
      </c>
      <c r="D16" s="52" t="s">
        <v>371</v>
      </c>
      <c r="E16" s="52" t="s">
        <v>320</v>
      </c>
      <c r="F16" s="52">
        <v>44331</v>
      </c>
      <c r="G16" s="52">
        <v>44511</v>
      </c>
      <c r="H16" s="50">
        <f>((G16-F16)/7)/4.3</f>
        <v>5.9800664451827243</v>
      </c>
      <c r="I16" s="53"/>
      <c r="J16" s="53"/>
      <c r="K16" s="53"/>
      <c r="L16" s="53"/>
      <c r="M16" s="53"/>
      <c r="N16" s="53"/>
      <c r="O16" s="47"/>
      <c r="P16" s="115">
        <v>0</v>
      </c>
      <c r="Q16" s="47"/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58"/>
      <c r="Y16" s="58"/>
      <c r="Z16" s="58"/>
      <c r="AA16" s="58"/>
      <c r="AB16" s="58"/>
      <c r="AC16" s="58"/>
      <c r="AD16" s="47"/>
      <c r="AE16" s="58"/>
      <c r="AF16" s="53"/>
      <c r="AG16" s="47"/>
      <c r="AH16" s="53">
        <f>SUM(P16:AG16)</f>
        <v>0</v>
      </c>
      <c r="AI16" s="51"/>
      <c r="AJ16" s="218">
        <f>I16-AH16</f>
        <v>0</v>
      </c>
    </row>
    <row r="17" spans="1:36" s="36" customFormat="1" ht="15.75" x14ac:dyDescent="0.25">
      <c r="A17" s="34" t="s">
        <v>47</v>
      </c>
      <c r="B17" s="35" t="s">
        <v>48</v>
      </c>
      <c r="C17" s="52" t="s">
        <v>368</v>
      </c>
      <c r="D17" s="52" t="s">
        <v>401</v>
      </c>
      <c r="E17" s="52" t="s">
        <v>370</v>
      </c>
      <c r="F17" s="87">
        <v>44228</v>
      </c>
      <c r="G17" s="87">
        <v>44286</v>
      </c>
      <c r="H17" s="88">
        <f t="shared" si="0"/>
        <v>1.9269102990033224</v>
      </c>
      <c r="I17" s="181">
        <v>81500</v>
      </c>
      <c r="J17" s="53"/>
      <c r="K17" s="53"/>
      <c r="L17" s="53"/>
      <c r="M17" s="53"/>
      <c r="N17" s="53"/>
      <c r="O17" s="47"/>
      <c r="P17" s="115">
        <v>0</v>
      </c>
      <c r="Q17" s="47"/>
      <c r="R17" s="115">
        <v>0</v>
      </c>
      <c r="S17" s="115">
        <v>0</v>
      </c>
      <c r="T17" s="115">
        <v>81500</v>
      </c>
      <c r="U17" s="242">
        <v>0</v>
      </c>
      <c r="V17" s="115">
        <v>0</v>
      </c>
      <c r="W17" s="115">
        <v>0</v>
      </c>
      <c r="X17" s="53"/>
      <c r="Y17" s="53"/>
      <c r="Z17" s="53"/>
      <c r="AA17" s="53"/>
      <c r="AB17" s="53"/>
      <c r="AC17" s="53"/>
      <c r="AD17" s="47"/>
      <c r="AE17" s="53"/>
      <c r="AF17" s="53"/>
      <c r="AG17" s="47"/>
      <c r="AH17" s="53">
        <f>SUM(P17:AG17)</f>
        <v>81500</v>
      </c>
      <c r="AI17" s="51"/>
      <c r="AJ17" s="55">
        <f t="shared" si="1"/>
        <v>0</v>
      </c>
    </row>
    <row r="18" spans="1:36" s="36" customFormat="1" ht="15.75" x14ac:dyDescent="0.25">
      <c r="A18" s="113" t="s">
        <v>178</v>
      </c>
      <c r="B18" s="113" t="s">
        <v>179</v>
      </c>
      <c r="C18" s="52" t="s">
        <v>45</v>
      </c>
      <c r="D18" s="52" t="s">
        <v>371</v>
      </c>
      <c r="E18" s="52" t="s">
        <v>320</v>
      </c>
      <c r="F18" s="52">
        <v>44331</v>
      </c>
      <c r="G18" s="52">
        <v>44511</v>
      </c>
      <c r="H18" s="50">
        <f>((G18-F18)/7)/4.3</f>
        <v>5.9800664451827243</v>
      </c>
      <c r="I18" s="86" t="s">
        <v>165</v>
      </c>
      <c r="J18" s="53"/>
      <c r="K18" s="53"/>
      <c r="L18" s="53"/>
      <c r="M18" s="53"/>
      <c r="N18" s="53"/>
      <c r="O18" s="47"/>
      <c r="P18" s="115">
        <v>0</v>
      </c>
      <c r="Q18" s="47"/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58"/>
      <c r="Y18" s="58"/>
      <c r="Z18" s="58"/>
      <c r="AA18" s="58"/>
      <c r="AB18" s="58"/>
      <c r="AC18" s="58"/>
      <c r="AD18" s="47"/>
      <c r="AE18" s="58"/>
      <c r="AF18" s="53"/>
      <c r="AG18" s="47"/>
      <c r="AH18" s="53">
        <f>SUM(P18:AG18)</f>
        <v>0</v>
      </c>
      <c r="AI18" s="51"/>
      <c r="AJ18" s="246" t="s">
        <v>165</v>
      </c>
    </row>
    <row r="19" spans="1:36" s="36" customFormat="1" ht="15.75" x14ac:dyDescent="0.25">
      <c r="A19" s="95"/>
      <c r="B19" s="95"/>
      <c r="C19" s="91"/>
      <c r="D19" s="91"/>
      <c r="E19" s="91"/>
      <c r="F19" s="91"/>
      <c r="G19" s="91"/>
      <c r="H19" s="92"/>
      <c r="I19" s="243">
        <f>SUM(I4:I18)</f>
        <v>8567619</v>
      </c>
      <c r="J19" s="59"/>
      <c r="K19" s="59"/>
      <c r="L19" s="59"/>
      <c r="M19" s="59"/>
      <c r="N19" s="59"/>
      <c r="O19" s="47"/>
      <c r="P19" s="59">
        <f>SUM(P4:P18)</f>
        <v>1478898</v>
      </c>
      <c r="Q19" s="47"/>
      <c r="R19" s="59">
        <f t="shared" ref="R19:AC19" si="3">SUM(R4:R18)</f>
        <v>701949</v>
      </c>
      <c r="S19" s="59">
        <f t="shared" si="3"/>
        <v>118025</v>
      </c>
      <c r="T19" s="59">
        <f t="shared" si="3"/>
        <v>849002</v>
      </c>
      <c r="U19" s="59">
        <f t="shared" si="3"/>
        <v>538775</v>
      </c>
      <c r="V19" s="59">
        <f t="shared" si="3"/>
        <v>755703</v>
      </c>
      <c r="W19" s="59">
        <f t="shared" si="3"/>
        <v>738802</v>
      </c>
      <c r="X19" s="59">
        <f t="shared" si="3"/>
        <v>616297</v>
      </c>
      <c r="Y19" s="59">
        <f t="shared" si="3"/>
        <v>475000</v>
      </c>
      <c r="Z19" s="59">
        <f t="shared" si="3"/>
        <v>500000</v>
      </c>
      <c r="AA19" s="59">
        <f t="shared" si="3"/>
        <v>525000</v>
      </c>
      <c r="AB19" s="59">
        <f t="shared" si="3"/>
        <v>525000</v>
      </c>
      <c r="AC19" s="59">
        <f t="shared" si="3"/>
        <v>352754</v>
      </c>
      <c r="AD19" s="47"/>
      <c r="AE19" s="59">
        <f>SUM(AE4:AE18)</f>
        <v>392414</v>
      </c>
      <c r="AF19" s="59">
        <f>SUM(AF4:AF18)</f>
        <v>0</v>
      </c>
      <c r="AG19" s="47"/>
      <c r="AH19" s="59">
        <f>SUM(P19:AG19)</f>
        <v>8567619</v>
      </c>
      <c r="AI19" s="51"/>
      <c r="AJ19" s="218">
        <f t="shared" si="1"/>
        <v>0</v>
      </c>
    </row>
    <row r="20" spans="1:36" s="36" customFormat="1" ht="15.75" x14ac:dyDescent="0.25">
      <c r="A20" s="106" t="s">
        <v>536</v>
      </c>
      <c r="B20" s="107"/>
      <c r="C20" s="101" t="s">
        <v>373</v>
      </c>
      <c r="D20" s="102"/>
      <c r="E20" s="102"/>
      <c r="F20" s="102"/>
      <c r="G20" s="102"/>
      <c r="H20" s="84"/>
      <c r="I20" s="193"/>
      <c r="J20" s="103"/>
      <c r="K20" s="103"/>
      <c r="L20" s="103"/>
      <c r="M20" s="103"/>
      <c r="N20" s="103"/>
      <c r="O20" s="47"/>
      <c r="P20" s="85"/>
      <c r="Q20" s="47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47"/>
      <c r="AE20" s="103"/>
      <c r="AF20" s="103"/>
      <c r="AG20" s="47"/>
      <c r="AH20" s="85"/>
      <c r="AI20" s="51"/>
      <c r="AJ20" s="218">
        <f t="shared" si="1"/>
        <v>0</v>
      </c>
    </row>
    <row r="21" spans="1:36" s="36" customFormat="1" ht="15.75" x14ac:dyDescent="0.25">
      <c r="A21" s="179" t="s">
        <v>434</v>
      </c>
      <c r="B21" s="180" t="s">
        <v>537</v>
      </c>
      <c r="C21" s="52"/>
      <c r="D21" s="52"/>
      <c r="E21" s="52"/>
      <c r="F21" s="52"/>
      <c r="G21" s="52"/>
      <c r="H21" s="50"/>
      <c r="I21" s="247">
        <f>353138+108818</f>
        <v>461956</v>
      </c>
      <c r="J21" s="53"/>
      <c r="K21" s="53"/>
      <c r="L21" s="53"/>
      <c r="M21" s="53"/>
      <c r="N21" s="53"/>
      <c r="O21" s="47"/>
      <c r="P21" s="115">
        <v>0</v>
      </c>
      <c r="Q21" s="47"/>
      <c r="R21" s="115">
        <v>353138</v>
      </c>
      <c r="S21" s="115">
        <v>108818</v>
      </c>
      <c r="T21" s="115">
        <v>0</v>
      </c>
      <c r="U21" s="115">
        <v>0</v>
      </c>
      <c r="V21" s="115">
        <v>0</v>
      </c>
      <c r="W21" s="115">
        <v>0</v>
      </c>
      <c r="X21" s="58"/>
      <c r="Y21" s="58"/>
      <c r="Z21" s="58"/>
      <c r="AA21" s="58"/>
      <c r="AB21" s="58"/>
      <c r="AC21" s="58"/>
      <c r="AD21" s="47"/>
      <c r="AE21" s="58"/>
      <c r="AF21" s="53"/>
      <c r="AG21" s="47"/>
      <c r="AH21" s="53">
        <f>SUM(P21:AG21)</f>
        <v>461956</v>
      </c>
      <c r="AI21" s="51"/>
      <c r="AJ21" s="218">
        <f t="shared" si="1"/>
        <v>0</v>
      </c>
    </row>
    <row r="22" spans="1:36" s="36" customFormat="1" ht="15.75" x14ac:dyDescent="0.25">
      <c r="A22" s="179" t="s">
        <v>197</v>
      </c>
      <c r="B22" s="180" t="s">
        <v>198</v>
      </c>
      <c r="C22" s="52"/>
      <c r="D22" s="52"/>
      <c r="E22" s="52"/>
      <c r="F22" s="52"/>
      <c r="G22" s="52"/>
      <c r="H22" s="50"/>
      <c r="I22" s="247">
        <v>500577</v>
      </c>
      <c r="J22" s="53"/>
      <c r="K22" s="53"/>
      <c r="L22" s="53"/>
      <c r="M22" s="53"/>
      <c r="N22" s="53"/>
      <c r="O22" s="47"/>
      <c r="P22" s="115">
        <v>0</v>
      </c>
      <c r="Q22" s="47"/>
      <c r="R22" s="115">
        <v>0</v>
      </c>
      <c r="S22" s="115">
        <v>17615</v>
      </c>
      <c r="T22" s="115">
        <v>71648</v>
      </c>
      <c r="U22" s="115">
        <v>0</v>
      </c>
      <c r="V22" s="115">
        <v>97695</v>
      </c>
      <c r="W22" s="115">
        <v>103125</v>
      </c>
      <c r="X22" s="58">
        <v>100000</v>
      </c>
      <c r="Y22" s="58">
        <v>100000</v>
      </c>
      <c r="Z22" s="58">
        <v>10494</v>
      </c>
      <c r="AA22" s="58"/>
      <c r="AB22" s="58"/>
      <c r="AC22" s="58"/>
      <c r="AD22" s="47"/>
      <c r="AE22" s="58"/>
      <c r="AF22" s="53"/>
      <c r="AG22" s="47"/>
      <c r="AH22" s="53">
        <f>SUM(P22:AG22)</f>
        <v>500577</v>
      </c>
      <c r="AI22" s="51"/>
      <c r="AJ22" s="218">
        <f t="shared" si="1"/>
        <v>0</v>
      </c>
    </row>
    <row r="23" spans="1:36" s="36" customFormat="1" ht="15.75" x14ac:dyDescent="0.25">
      <c r="A23" s="93"/>
      <c r="B23" s="94"/>
      <c r="C23" s="91"/>
      <c r="D23" s="91"/>
      <c r="E23" s="91"/>
      <c r="F23" s="91"/>
      <c r="G23" s="91"/>
      <c r="H23" s="92"/>
      <c r="I23" s="243">
        <f>SUM(I21:I22)</f>
        <v>962533</v>
      </c>
      <c r="J23" s="59"/>
      <c r="K23" s="59"/>
      <c r="L23" s="59"/>
      <c r="M23" s="59"/>
      <c r="N23" s="59"/>
      <c r="O23" s="47"/>
      <c r="P23" s="59">
        <f>SUM(P21:P22)</f>
        <v>0</v>
      </c>
      <c r="Q23" s="47"/>
      <c r="R23" s="59">
        <f>SUM(R21:R22)</f>
        <v>353138</v>
      </c>
      <c r="S23" s="59">
        <f t="shared" ref="S23:AC23" si="4">SUM(S21:S22)</f>
        <v>126433</v>
      </c>
      <c r="T23" s="59">
        <f t="shared" si="4"/>
        <v>71648</v>
      </c>
      <c r="U23" s="59">
        <f t="shared" si="4"/>
        <v>0</v>
      </c>
      <c r="V23" s="59">
        <f t="shared" si="4"/>
        <v>97695</v>
      </c>
      <c r="W23" s="59">
        <f t="shared" si="4"/>
        <v>103125</v>
      </c>
      <c r="X23" s="59">
        <f t="shared" si="4"/>
        <v>100000</v>
      </c>
      <c r="Y23" s="59">
        <f t="shared" si="4"/>
        <v>100000</v>
      </c>
      <c r="Z23" s="59">
        <f t="shared" si="4"/>
        <v>10494</v>
      </c>
      <c r="AA23" s="59">
        <f t="shared" si="4"/>
        <v>0</v>
      </c>
      <c r="AB23" s="59">
        <f t="shared" si="4"/>
        <v>0</v>
      </c>
      <c r="AC23" s="59">
        <f t="shared" si="4"/>
        <v>0</v>
      </c>
      <c r="AD23" s="47"/>
      <c r="AE23" s="59">
        <f>SUM(AE21:AE22)</f>
        <v>0</v>
      </c>
      <c r="AF23" s="59">
        <f>SUM(AF21:AF22)</f>
        <v>0</v>
      </c>
      <c r="AG23" s="47"/>
      <c r="AH23" s="53">
        <f>SUM(P23:AG23)</f>
        <v>962533</v>
      </c>
      <c r="AI23" s="51"/>
      <c r="AJ23" s="218">
        <f>I23-AH23</f>
        <v>0</v>
      </c>
    </row>
    <row r="24" spans="1:36" s="36" customFormat="1" ht="15.75" x14ac:dyDescent="0.25">
      <c r="A24" s="106" t="s">
        <v>379</v>
      </c>
      <c r="B24" s="107"/>
      <c r="C24" s="101" t="s">
        <v>380</v>
      </c>
      <c r="D24" s="102"/>
      <c r="E24" s="102"/>
      <c r="F24" s="102"/>
      <c r="G24" s="102"/>
      <c r="H24" s="84"/>
      <c r="I24" s="193"/>
      <c r="J24" s="103"/>
      <c r="K24" s="103"/>
      <c r="L24" s="103"/>
      <c r="M24" s="103"/>
      <c r="N24" s="103"/>
      <c r="O24" s="47"/>
      <c r="P24" s="85"/>
      <c r="Q24" s="47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47"/>
      <c r="AE24" s="103"/>
      <c r="AF24" s="103"/>
      <c r="AG24" s="47"/>
      <c r="AH24" s="85"/>
      <c r="AI24" s="51"/>
      <c r="AJ24" s="218"/>
    </row>
    <row r="25" spans="1:36" s="36" customFormat="1" ht="15.75" x14ac:dyDescent="0.25">
      <c r="A25" s="60" t="s">
        <v>65</v>
      </c>
      <c r="B25" s="61" t="s">
        <v>531</v>
      </c>
      <c r="C25" s="52" t="s">
        <v>380</v>
      </c>
      <c r="D25" s="52" t="s">
        <v>381</v>
      </c>
      <c r="E25" s="52" t="s">
        <v>370</v>
      </c>
      <c r="F25" s="52">
        <v>44004</v>
      </c>
      <c r="G25" s="87">
        <v>44301</v>
      </c>
      <c r="H25" s="50">
        <f>((G25-F25)/7)/4.3</f>
        <v>9.867109634551495</v>
      </c>
      <c r="I25" s="182">
        <v>2419061</v>
      </c>
      <c r="J25" s="53"/>
      <c r="K25" s="53"/>
      <c r="L25" s="53"/>
      <c r="M25" s="53"/>
      <c r="N25" s="53"/>
      <c r="O25" s="47"/>
      <c r="P25" s="115">
        <v>1788494</v>
      </c>
      <c r="Q25" s="47"/>
      <c r="R25" s="115">
        <v>93223</v>
      </c>
      <c r="S25" s="115">
        <v>-90886</v>
      </c>
      <c r="T25" s="115">
        <v>247214</v>
      </c>
      <c r="U25" s="115">
        <f>164452+38564</f>
        <v>203016</v>
      </c>
      <c r="V25" s="115">
        <v>0</v>
      </c>
      <c r="W25" s="115">
        <v>88152</v>
      </c>
      <c r="X25" s="54">
        <v>20348</v>
      </c>
      <c r="Y25" s="54">
        <v>69500</v>
      </c>
      <c r="Z25" s="53"/>
      <c r="AA25" s="53"/>
      <c r="AB25" s="53"/>
      <c r="AC25" s="53"/>
      <c r="AD25" s="47"/>
      <c r="AE25" s="53"/>
      <c r="AF25" s="53"/>
      <c r="AG25" s="47"/>
      <c r="AH25" s="53">
        <f>SUM(P25:AG25)</f>
        <v>2419061</v>
      </c>
      <c r="AI25" s="51"/>
      <c r="AJ25" s="218">
        <f t="shared" ref="AJ25:AJ37" si="5">I25-AH25</f>
        <v>0</v>
      </c>
    </row>
    <row r="26" spans="1:36" s="36" customFormat="1" ht="15.75" x14ac:dyDescent="0.25">
      <c r="A26" s="34" t="s">
        <v>383</v>
      </c>
      <c r="B26" s="35" t="s">
        <v>384</v>
      </c>
      <c r="C26" s="52" t="s">
        <v>380</v>
      </c>
      <c r="D26" s="52" t="s">
        <v>381</v>
      </c>
      <c r="E26" s="52" t="s">
        <v>370</v>
      </c>
      <c r="F26" s="87">
        <v>44290</v>
      </c>
      <c r="G26" s="87">
        <v>44392</v>
      </c>
      <c r="H26" s="50">
        <f>((G26-F26)/7)/4.3</f>
        <v>3.3887043189368771</v>
      </c>
      <c r="I26" s="182">
        <v>683158</v>
      </c>
      <c r="J26" s="53"/>
      <c r="K26" s="53"/>
      <c r="L26" s="53"/>
      <c r="M26" s="53"/>
      <c r="N26" s="53"/>
      <c r="O26" s="47"/>
      <c r="P26" s="115">
        <v>65749</v>
      </c>
      <c r="Q26" s="47"/>
      <c r="R26" s="115">
        <v>0</v>
      </c>
      <c r="S26" s="115">
        <v>0</v>
      </c>
      <c r="T26" s="115">
        <v>72518</v>
      </c>
      <c r="U26" s="115">
        <v>31182</v>
      </c>
      <c r="V26" s="115">
        <v>36101</v>
      </c>
      <c r="W26" s="115">
        <v>79510</v>
      </c>
      <c r="X26" s="54">
        <v>53107</v>
      </c>
      <c r="Y26" s="54">
        <v>90000</v>
      </c>
      <c r="Z26" s="54">
        <v>90000</v>
      </c>
      <c r="AA26" s="54">
        <v>90000</v>
      </c>
      <c r="AB26" s="54">
        <v>74991</v>
      </c>
      <c r="AC26" s="53"/>
      <c r="AD26" s="47"/>
      <c r="AE26" s="53"/>
      <c r="AF26" s="53"/>
      <c r="AG26" s="47"/>
      <c r="AH26" s="53">
        <f t="shared" ref="AH26:AH36" si="6">SUM(P26:AG26)</f>
        <v>683158</v>
      </c>
      <c r="AI26" s="51"/>
      <c r="AJ26" s="218">
        <f t="shared" si="5"/>
        <v>0</v>
      </c>
    </row>
    <row r="27" spans="1:36" s="36" customFormat="1" ht="15.75" x14ac:dyDescent="0.25">
      <c r="A27" s="34" t="s">
        <v>92</v>
      </c>
      <c r="B27" s="35" t="s">
        <v>93</v>
      </c>
      <c r="C27" s="52" t="s">
        <v>380</v>
      </c>
      <c r="D27" s="52" t="s">
        <v>381</v>
      </c>
      <c r="E27" s="52" t="s">
        <v>370</v>
      </c>
      <c r="F27" s="87">
        <v>44256</v>
      </c>
      <c r="G27" s="87">
        <v>44557</v>
      </c>
      <c r="H27" s="50">
        <f>((G27-F27)/7)/4.3</f>
        <v>10</v>
      </c>
      <c r="I27" s="182">
        <v>1436404</v>
      </c>
      <c r="J27" s="53"/>
      <c r="K27" s="53"/>
      <c r="L27" s="53"/>
      <c r="M27" s="53"/>
      <c r="N27" s="53"/>
      <c r="O27" s="47"/>
      <c r="P27" s="115">
        <v>91138</v>
      </c>
      <c r="Q27" s="47"/>
      <c r="R27" s="115">
        <v>0</v>
      </c>
      <c r="S27" s="115">
        <v>0</v>
      </c>
      <c r="T27" s="115">
        <v>0</v>
      </c>
      <c r="U27" s="115">
        <v>55754</v>
      </c>
      <c r="V27" s="115">
        <f>82399+102660</f>
        <v>185059</v>
      </c>
      <c r="W27" s="115">
        <v>486176</v>
      </c>
      <c r="X27" s="54">
        <v>117904</v>
      </c>
      <c r="Y27" s="54">
        <v>150000</v>
      </c>
      <c r="Z27" s="54">
        <v>175000</v>
      </c>
      <c r="AA27" s="54">
        <v>150000</v>
      </c>
      <c r="AB27" s="54">
        <v>25373</v>
      </c>
      <c r="AC27" s="58"/>
      <c r="AD27" s="47"/>
      <c r="AE27" s="58"/>
      <c r="AF27" s="53"/>
      <c r="AG27" s="47"/>
      <c r="AH27" s="53">
        <f t="shared" si="6"/>
        <v>1436404</v>
      </c>
      <c r="AI27" s="51"/>
      <c r="AJ27" s="218">
        <f t="shared" si="5"/>
        <v>0</v>
      </c>
    </row>
    <row r="28" spans="1:36" s="36" customFormat="1" ht="15.75" x14ac:dyDescent="0.25">
      <c r="A28" s="34" t="s">
        <v>96</v>
      </c>
      <c r="B28" s="35" t="s">
        <v>97</v>
      </c>
      <c r="C28" s="52" t="s">
        <v>380</v>
      </c>
      <c r="D28" s="52" t="s">
        <v>381</v>
      </c>
      <c r="E28" s="52" t="s">
        <v>370</v>
      </c>
      <c r="F28" s="87">
        <v>44284</v>
      </c>
      <c r="G28" s="87">
        <v>44524</v>
      </c>
      <c r="H28" s="50">
        <f>((G28-F28)/7)/4.3</f>
        <v>7.9734219269102988</v>
      </c>
      <c r="I28" s="182">
        <v>648253</v>
      </c>
      <c r="J28" s="53"/>
      <c r="K28" s="53"/>
      <c r="L28" s="53"/>
      <c r="M28" s="53"/>
      <c r="N28" s="53"/>
      <c r="O28" s="47"/>
      <c r="P28" s="115">
        <v>124344</v>
      </c>
      <c r="Q28" s="47"/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82390</v>
      </c>
      <c r="X28" s="54">
        <v>65000</v>
      </c>
      <c r="Y28" s="54">
        <v>65000</v>
      </c>
      <c r="Z28" s="54">
        <v>65000</v>
      </c>
      <c r="AA28" s="54">
        <v>60000</v>
      </c>
      <c r="AB28" s="54">
        <v>73909</v>
      </c>
      <c r="AC28" s="54">
        <v>112610</v>
      </c>
      <c r="AD28" s="47"/>
      <c r="AE28" s="53"/>
      <c r="AF28" s="53"/>
      <c r="AG28" s="47"/>
      <c r="AH28" s="53">
        <f t="shared" si="6"/>
        <v>648253</v>
      </c>
      <c r="AI28" s="51"/>
      <c r="AJ28" s="218">
        <f t="shared" si="5"/>
        <v>0</v>
      </c>
    </row>
    <row r="29" spans="1:36" s="36" customFormat="1" ht="15.75" x14ac:dyDescent="0.25">
      <c r="A29" s="60" t="s">
        <v>99</v>
      </c>
      <c r="B29" s="61" t="s">
        <v>100</v>
      </c>
      <c r="C29" s="52" t="s">
        <v>380</v>
      </c>
      <c r="D29" s="52" t="s">
        <v>381</v>
      </c>
      <c r="E29" s="52" t="s">
        <v>370</v>
      </c>
      <c r="F29" s="87">
        <v>44284</v>
      </c>
      <c r="G29" s="87">
        <v>44524</v>
      </c>
      <c r="H29" s="50">
        <f>((G29-F29)/7)/4.3</f>
        <v>7.9734219269102988</v>
      </c>
      <c r="I29" s="182">
        <v>400187</v>
      </c>
      <c r="J29" s="53"/>
      <c r="K29" s="53"/>
      <c r="L29" s="53"/>
      <c r="M29" s="53"/>
      <c r="N29" s="53"/>
      <c r="O29" s="47"/>
      <c r="P29" s="115">
        <v>14681</v>
      </c>
      <c r="Q29" s="47"/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50940</v>
      </c>
      <c r="X29" s="54">
        <v>50000</v>
      </c>
      <c r="Y29" s="54">
        <v>60000</v>
      </c>
      <c r="Z29" s="54">
        <v>60000</v>
      </c>
      <c r="AA29" s="54">
        <v>60000</v>
      </c>
      <c r="AB29" s="54">
        <v>60000</v>
      </c>
      <c r="AC29" s="54">
        <v>44566</v>
      </c>
      <c r="AD29" s="47"/>
      <c r="AE29" s="53"/>
      <c r="AF29" s="53"/>
      <c r="AG29" s="47"/>
      <c r="AH29" s="53">
        <f t="shared" si="6"/>
        <v>400187</v>
      </c>
      <c r="AI29" s="51"/>
      <c r="AJ29" s="218">
        <f t="shared" si="5"/>
        <v>0</v>
      </c>
    </row>
    <row r="30" spans="1:36" s="36" customFormat="1" ht="15.75" x14ac:dyDescent="0.25">
      <c r="A30" s="111" t="s">
        <v>82</v>
      </c>
      <c r="B30" s="61" t="s">
        <v>532</v>
      </c>
      <c r="C30" s="52"/>
      <c r="D30" s="52"/>
      <c r="E30" s="52"/>
      <c r="F30" s="87"/>
      <c r="G30" s="87"/>
      <c r="H30" s="50"/>
      <c r="I30" s="182">
        <v>33274</v>
      </c>
      <c r="J30" s="53"/>
      <c r="K30" s="53"/>
      <c r="L30" s="53"/>
      <c r="M30" s="53"/>
      <c r="N30" s="53"/>
      <c r="O30" s="47"/>
      <c r="P30" s="115">
        <v>0</v>
      </c>
      <c r="Q30" s="47"/>
      <c r="R30" s="115">
        <v>0</v>
      </c>
      <c r="S30" s="115">
        <v>0</v>
      </c>
      <c r="T30" s="115">
        <v>0</v>
      </c>
      <c r="U30" s="115">
        <v>0</v>
      </c>
      <c r="V30" s="115">
        <v>33274</v>
      </c>
      <c r="W30" s="115">
        <v>0</v>
      </c>
      <c r="X30" s="58"/>
      <c r="Y30" s="58"/>
      <c r="Z30" s="58"/>
      <c r="AA30" s="58"/>
      <c r="AB30" s="58"/>
      <c r="AC30" s="53"/>
      <c r="AD30" s="47"/>
      <c r="AE30" s="53"/>
      <c r="AF30" s="53"/>
      <c r="AG30" s="47"/>
      <c r="AH30" s="53">
        <f t="shared" si="6"/>
        <v>33274</v>
      </c>
      <c r="AI30" s="51"/>
      <c r="AJ30" s="218">
        <f t="shared" si="5"/>
        <v>0</v>
      </c>
    </row>
    <row r="31" spans="1:36" s="36" customFormat="1" ht="15.75" x14ac:dyDescent="0.25">
      <c r="A31" s="113" t="s">
        <v>102</v>
      </c>
      <c r="B31" s="35" t="s">
        <v>385</v>
      </c>
      <c r="C31" s="52" t="s">
        <v>380</v>
      </c>
      <c r="D31" s="52" t="s">
        <v>381</v>
      </c>
      <c r="E31" s="52" t="s">
        <v>320</v>
      </c>
      <c r="F31" s="52" t="s">
        <v>24</v>
      </c>
      <c r="G31" s="52" t="s">
        <v>24</v>
      </c>
      <c r="H31" s="52" t="s">
        <v>24</v>
      </c>
      <c r="I31" s="86">
        <v>0</v>
      </c>
      <c r="J31" s="53"/>
      <c r="K31" s="53"/>
      <c r="L31" s="53"/>
      <c r="M31" s="53"/>
      <c r="N31" s="53"/>
      <c r="O31" s="47"/>
      <c r="P31" s="115">
        <v>0</v>
      </c>
      <c r="Q31" s="47"/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53"/>
      <c r="Y31" s="53"/>
      <c r="Z31" s="53"/>
      <c r="AA31" s="53"/>
      <c r="AB31" s="53"/>
      <c r="AC31" s="53"/>
      <c r="AD31" s="47"/>
      <c r="AE31" s="53"/>
      <c r="AF31" s="53"/>
      <c r="AG31" s="47"/>
      <c r="AH31" s="53">
        <f t="shared" si="6"/>
        <v>0</v>
      </c>
      <c r="AI31" s="51"/>
      <c r="AJ31" s="218">
        <f t="shared" si="5"/>
        <v>0</v>
      </c>
    </row>
    <row r="32" spans="1:36" s="36" customFormat="1" ht="15.75" x14ac:dyDescent="0.25">
      <c r="A32" s="113" t="s">
        <v>325</v>
      </c>
      <c r="B32" s="35" t="s">
        <v>418</v>
      </c>
      <c r="C32" s="52" t="s">
        <v>380</v>
      </c>
      <c r="D32" s="52" t="s">
        <v>381</v>
      </c>
      <c r="E32" s="52" t="s">
        <v>320</v>
      </c>
      <c r="F32" s="52" t="s">
        <v>319</v>
      </c>
      <c r="G32" s="52" t="s">
        <v>319</v>
      </c>
      <c r="H32" s="52" t="s">
        <v>319</v>
      </c>
      <c r="I32" s="247">
        <v>253822</v>
      </c>
      <c r="J32" s="53"/>
      <c r="K32" s="53"/>
      <c r="L32" s="53"/>
      <c r="M32" s="53"/>
      <c r="N32" s="53"/>
      <c r="O32" s="47"/>
      <c r="P32" s="115">
        <v>0</v>
      </c>
      <c r="Q32" s="47"/>
      <c r="R32" s="115">
        <v>0</v>
      </c>
      <c r="S32" s="115">
        <v>15630</v>
      </c>
      <c r="T32" s="115">
        <v>0</v>
      </c>
      <c r="U32" s="115">
        <v>0</v>
      </c>
      <c r="V32" s="115">
        <v>0</v>
      </c>
      <c r="W32" s="115">
        <v>0</v>
      </c>
      <c r="X32" s="54">
        <v>238192</v>
      </c>
      <c r="Y32" s="53"/>
      <c r="Z32" s="53"/>
      <c r="AA32" s="53"/>
      <c r="AB32" s="53"/>
      <c r="AC32" s="53"/>
      <c r="AD32" s="47"/>
      <c r="AE32" s="53"/>
      <c r="AF32" s="53"/>
      <c r="AG32" s="47"/>
      <c r="AH32" s="53">
        <f>SUM(P32:AG32)</f>
        <v>253822</v>
      </c>
      <c r="AI32" s="51"/>
      <c r="AJ32" s="55">
        <f>I32-AH32</f>
        <v>0</v>
      </c>
    </row>
    <row r="33" spans="1:36" s="36" customFormat="1" ht="15.75" x14ac:dyDescent="0.25">
      <c r="A33" s="113" t="s">
        <v>328</v>
      </c>
      <c r="B33" s="35" t="s">
        <v>419</v>
      </c>
      <c r="C33" s="52" t="s">
        <v>380</v>
      </c>
      <c r="D33" s="52" t="s">
        <v>381</v>
      </c>
      <c r="E33" s="52" t="s">
        <v>320</v>
      </c>
      <c r="F33" s="52" t="s">
        <v>319</v>
      </c>
      <c r="G33" s="52" t="s">
        <v>319</v>
      </c>
      <c r="H33" s="52" t="s">
        <v>319</v>
      </c>
      <c r="I33" s="247">
        <v>129826</v>
      </c>
      <c r="J33" s="53"/>
      <c r="K33" s="53"/>
      <c r="L33" s="53"/>
      <c r="M33" s="53"/>
      <c r="N33" s="53"/>
      <c r="O33" s="47"/>
      <c r="P33" s="115">
        <v>0</v>
      </c>
      <c r="Q33" s="47"/>
      <c r="R33" s="115">
        <v>0</v>
      </c>
      <c r="S33" s="115">
        <v>5720</v>
      </c>
      <c r="T33" s="115">
        <v>0</v>
      </c>
      <c r="U33" s="115">
        <v>9280</v>
      </c>
      <c r="V33" s="115">
        <v>0</v>
      </c>
      <c r="W33" s="115">
        <v>0</v>
      </c>
      <c r="X33" s="54">
        <v>114826</v>
      </c>
      <c r="Y33" s="53"/>
      <c r="Z33" s="53"/>
      <c r="AA33" s="53"/>
      <c r="AB33" s="53"/>
      <c r="AC33" s="53"/>
      <c r="AD33" s="47"/>
      <c r="AE33" s="53"/>
      <c r="AF33" s="53"/>
      <c r="AG33" s="47"/>
      <c r="AH33" s="53">
        <f>SUM(P33:AG33)</f>
        <v>129826</v>
      </c>
      <c r="AI33" s="51"/>
      <c r="AJ33" s="55">
        <f>I33-AH33</f>
        <v>0</v>
      </c>
    </row>
    <row r="34" spans="1:36" s="36" customFormat="1" ht="15.75" x14ac:dyDescent="0.25">
      <c r="A34" s="113" t="s">
        <v>107</v>
      </c>
      <c r="B34" s="35" t="s">
        <v>108</v>
      </c>
      <c r="C34" s="52" t="s">
        <v>380</v>
      </c>
      <c r="D34" s="52" t="s">
        <v>381</v>
      </c>
      <c r="E34" s="52" t="s">
        <v>320</v>
      </c>
      <c r="F34" s="52">
        <v>44336</v>
      </c>
      <c r="G34" s="52">
        <v>44456</v>
      </c>
      <c r="H34" s="50">
        <f>((G34-F34)/7)/4.3</f>
        <v>3.9867109634551494</v>
      </c>
      <c r="I34" s="53">
        <v>0</v>
      </c>
      <c r="J34" s="53"/>
      <c r="K34" s="53"/>
      <c r="L34" s="53"/>
      <c r="M34" s="53"/>
      <c r="N34" s="53"/>
      <c r="O34" s="47"/>
      <c r="P34" s="115">
        <v>0</v>
      </c>
      <c r="Q34" s="47"/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58"/>
      <c r="Y34" s="58"/>
      <c r="Z34" s="53"/>
      <c r="AA34" s="53"/>
      <c r="AB34" s="53"/>
      <c r="AC34" s="53"/>
      <c r="AD34" s="47"/>
      <c r="AE34" s="53"/>
      <c r="AF34" s="53"/>
      <c r="AG34" s="47"/>
      <c r="AH34" s="53">
        <f t="shared" si="6"/>
        <v>0</v>
      </c>
      <c r="AI34" s="51"/>
      <c r="AJ34" s="218">
        <f t="shared" si="5"/>
        <v>0</v>
      </c>
    </row>
    <row r="35" spans="1:36" s="36" customFormat="1" ht="15.75" x14ac:dyDescent="0.25">
      <c r="A35" s="113" t="s">
        <v>110</v>
      </c>
      <c r="B35" s="35" t="s">
        <v>111</v>
      </c>
      <c r="C35" s="52" t="s">
        <v>380</v>
      </c>
      <c r="D35" s="52" t="s">
        <v>381</v>
      </c>
      <c r="E35" s="52" t="s">
        <v>320</v>
      </c>
      <c r="F35" s="52"/>
      <c r="G35" s="52"/>
      <c r="H35" s="50"/>
      <c r="I35" s="53">
        <v>0</v>
      </c>
      <c r="J35" s="53"/>
      <c r="K35" s="53"/>
      <c r="L35" s="53"/>
      <c r="M35" s="53"/>
      <c r="N35" s="53"/>
      <c r="O35" s="47"/>
      <c r="P35" s="115">
        <v>0</v>
      </c>
      <c r="Q35" s="47"/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58"/>
      <c r="Y35" s="58"/>
      <c r="Z35" s="53"/>
      <c r="AA35" s="53"/>
      <c r="AB35" s="53"/>
      <c r="AC35" s="53"/>
      <c r="AD35" s="47"/>
      <c r="AE35" s="53"/>
      <c r="AF35" s="53"/>
      <c r="AG35" s="47"/>
      <c r="AH35" s="53">
        <f t="shared" si="6"/>
        <v>0</v>
      </c>
      <c r="AI35" s="51"/>
      <c r="AJ35" s="218">
        <f t="shared" si="5"/>
        <v>0</v>
      </c>
    </row>
    <row r="36" spans="1:36" s="36" customFormat="1" ht="15.75" x14ac:dyDescent="0.25">
      <c r="A36" s="93"/>
      <c r="B36" s="94"/>
      <c r="C36" s="91"/>
      <c r="D36" s="91"/>
      <c r="E36" s="91"/>
      <c r="F36" s="91"/>
      <c r="G36" s="91"/>
      <c r="H36" s="92"/>
      <c r="I36" s="59">
        <f>SUM(I25:I35)</f>
        <v>6003985</v>
      </c>
      <c r="J36" s="59"/>
      <c r="K36" s="59"/>
      <c r="L36" s="59"/>
      <c r="M36" s="59"/>
      <c r="N36" s="59"/>
      <c r="O36" s="47"/>
      <c r="P36" s="59">
        <f>SUM(P25:P35)</f>
        <v>2084406</v>
      </c>
      <c r="Q36" s="47"/>
      <c r="R36" s="59">
        <f t="shared" ref="R36:AC36" si="7">SUM(R25:R35)</f>
        <v>93223</v>
      </c>
      <c r="S36" s="59">
        <f t="shared" si="7"/>
        <v>-69536</v>
      </c>
      <c r="T36" s="59">
        <f t="shared" si="7"/>
        <v>319732</v>
      </c>
      <c r="U36" s="59">
        <f t="shared" si="7"/>
        <v>299232</v>
      </c>
      <c r="V36" s="59">
        <f t="shared" si="7"/>
        <v>254434</v>
      </c>
      <c r="W36" s="59">
        <f t="shared" si="7"/>
        <v>787168</v>
      </c>
      <c r="X36" s="59">
        <f t="shared" si="7"/>
        <v>659377</v>
      </c>
      <c r="Y36" s="59">
        <f t="shared" si="7"/>
        <v>434500</v>
      </c>
      <c r="Z36" s="59">
        <f t="shared" si="7"/>
        <v>390000</v>
      </c>
      <c r="AA36" s="59">
        <f t="shared" si="7"/>
        <v>360000</v>
      </c>
      <c r="AB36" s="59">
        <f t="shared" si="7"/>
        <v>234273</v>
      </c>
      <c r="AC36" s="59">
        <f t="shared" si="7"/>
        <v>157176</v>
      </c>
      <c r="AD36" s="47"/>
      <c r="AE36" s="59">
        <f>SUM(AE25:AE35)</f>
        <v>0</v>
      </c>
      <c r="AF36" s="59">
        <f>SUM(AF25:AF35)</f>
        <v>0</v>
      </c>
      <c r="AG36" s="47"/>
      <c r="AH36" s="53">
        <f t="shared" si="6"/>
        <v>6003985</v>
      </c>
      <c r="AI36" s="51"/>
      <c r="AJ36" s="218">
        <f t="shared" si="5"/>
        <v>0</v>
      </c>
    </row>
    <row r="37" spans="1:36" s="36" customFormat="1" ht="15.75" x14ac:dyDescent="0.25">
      <c r="A37" s="106" t="s">
        <v>514</v>
      </c>
      <c r="B37" s="107"/>
      <c r="C37" s="101" t="s">
        <v>373</v>
      </c>
      <c r="D37" s="102"/>
      <c r="E37" s="102"/>
      <c r="F37" s="102"/>
      <c r="G37" s="102"/>
      <c r="H37" s="84"/>
      <c r="I37" s="193"/>
      <c r="J37" s="103"/>
      <c r="K37" s="103"/>
      <c r="L37" s="103"/>
      <c r="M37" s="103"/>
      <c r="N37" s="103"/>
      <c r="O37" s="47"/>
      <c r="P37" s="85"/>
      <c r="Q37" s="47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47"/>
      <c r="AE37" s="103"/>
      <c r="AF37" s="103"/>
      <c r="AG37" s="47"/>
      <c r="AH37" s="85"/>
      <c r="AI37" s="51"/>
      <c r="AJ37" s="218">
        <f t="shared" si="5"/>
        <v>0</v>
      </c>
    </row>
    <row r="38" spans="1:36" s="36" customFormat="1" ht="15.75" x14ac:dyDescent="0.25">
      <c r="A38" s="34" t="s">
        <v>185</v>
      </c>
      <c r="B38" s="35" t="s">
        <v>186</v>
      </c>
      <c r="C38" s="52" t="s">
        <v>45</v>
      </c>
      <c r="D38" s="52" t="s">
        <v>45</v>
      </c>
      <c r="E38" s="52" t="s">
        <v>320</v>
      </c>
      <c r="F38" s="52">
        <v>44372</v>
      </c>
      <c r="G38" s="52">
        <v>44673</v>
      </c>
      <c r="H38" s="50">
        <f>((G38-F38)/7)/4.3</f>
        <v>10</v>
      </c>
      <c r="I38" s="53">
        <v>1961016</v>
      </c>
      <c r="J38" s="53"/>
      <c r="K38" s="53"/>
      <c r="L38" s="53"/>
      <c r="M38" s="53"/>
      <c r="N38" s="53"/>
      <c r="O38" s="47"/>
      <c r="P38" s="115">
        <v>0</v>
      </c>
      <c r="Q38" s="47"/>
      <c r="R38" s="115">
        <v>0</v>
      </c>
      <c r="S38" s="115"/>
      <c r="T38" s="115"/>
      <c r="U38" s="115">
        <v>233134</v>
      </c>
      <c r="V38" s="115">
        <v>0</v>
      </c>
      <c r="W38" s="115">
        <v>0</v>
      </c>
      <c r="X38" s="54">
        <v>72994</v>
      </c>
      <c r="Y38" s="54">
        <v>150000</v>
      </c>
      <c r="Z38" s="54">
        <v>150000</v>
      </c>
      <c r="AA38" s="54">
        <v>200000</v>
      </c>
      <c r="AB38" s="54">
        <v>200000</v>
      </c>
      <c r="AC38" s="54">
        <v>200000</v>
      </c>
      <c r="AD38" s="47"/>
      <c r="AE38" s="54">
        <v>754888</v>
      </c>
      <c r="AF38" s="53"/>
      <c r="AG38" s="47"/>
      <c r="AH38" s="53">
        <f>SUM(P38:AG38)</f>
        <v>1961016</v>
      </c>
      <c r="AI38" s="51"/>
      <c r="AJ38" s="55">
        <f>I38-AH38</f>
        <v>0</v>
      </c>
    </row>
    <row r="39" spans="1:36" s="36" customFormat="1" ht="15.75" x14ac:dyDescent="0.25">
      <c r="A39" s="34"/>
      <c r="B39" s="35"/>
      <c r="C39" s="52"/>
      <c r="D39" s="52"/>
      <c r="E39" s="52"/>
      <c r="F39" s="52"/>
      <c r="G39" s="52"/>
      <c r="H39" s="50"/>
      <c r="I39" s="53"/>
      <c r="J39" s="53"/>
      <c r="K39" s="53"/>
      <c r="L39" s="53"/>
      <c r="M39" s="53"/>
      <c r="N39" s="53"/>
      <c r="O39" s="47"/>
      <c r="P39" s="115"/>
      <c r="Q39" s="47"/>
      <c r="R39" s="115">
        <v>0</v>
      </c>
      <c r="S39" s="115"/>
      <c r="T39" s="115"/>
      <c r="U39" s="115"/>
      <c r="V39" s="115"/>
      <c r="W39" s="115"/>
      <c r="X39" s="58"/>
      <c r="Y39" s="58"/>
      <c r="Z39" s="58"/>
      <c r="AA39" s="53"/>
      <c r="AB39" s="53"/>
      <c r="AC39" s="53"/>
      <c r="AD39" s="47"/>
      <c r="AE39" s="58"/>
      <c r="AF39" s="58"/>
      <c r="AG39" s="47"/>
      <c r="AH39" s="53">
        <f>SUM(P39:AG39)</f>
        <v>0</v>
      </c>
      <c r="AI39" s="51"/>
      <c r="AJ39" s="55">
        <f>I39-AH39</f>
        <v>0</v>
      </c>
    </row>
    <row r="40" spans="1:36" s="36" customFormat="1" ht="15.75" x14ac:dyDescent="0.25">
      <c r="A40" s="93"/>
      <c r="B40" s="94"/>
      <c r="C40" s="91"/>
      <c r="D40" s="91"/>
      <c r="E40" s="91"/>
      <c r="F40" s="91"/>
      <c r="G40" s="91"/>
      <c r="H40" s="92"/>
      <c r="I40" s="59">
        <f>SUM(I38:I39)</f>
        <v>1961016</v>
      </c>
      <c r="J40" s="59"/>
      <c r="K40" s="59"/>
      <c r="L40" s="59"/>
      <c r="M40" s="59"/>
      <c r="N40" s="59"/>
      <c r="O40" s="47"/>
      <c r="P40" s="59">
        <f>SUM(P38:P39)</f>
        <v>0</v>
      </c>
      <c r="Q40" s="47"/>
      <c r="R40" s="59">
        <f>SUM(R38:R39)</f>
        <v>0</v>
      </c>
      <c r="S40" s="59">
        <f t="shared" ref="S40:AC40" si="8">SUM(S38:S39)</f>
        <v>0</v>
      </c>
      <c r="T40" s="59">
        <f t="shared" si="8"/>
        <v>0</v>
      </c>
      <c r="U40" s="59">
        <f t="shared" si="8"/>
        <v>233134</v>
      </c>
      <c r="V40" s="59">
        <f t="shared" si="8"/>
        <v>0</v>
      </c>
      <c r="W40" s="59">
        <f t="shared" si="8"/>
        <v>0</v>
      </c>
      <c r="X40" s="59">
        <f t="shared" si="8"/>
        <v>72994</v>
      </c>
      <c r="Y40" s="59">
        <f t="shared" si="8"/>
        <v>150000</v>
      </c>
      <c r="Z40" s="59">
        <f t="shared" si="8"/>
        <v>150000</v>
      </c>
      <c r="AA40" s="59">
        <f t="shared" si="8"/>
        <v>200000</v>
      </c>
      <c r="AB40" s="59">
        <f t="shared" si="8"/>
        <v>200000</v>
      </c>
      <c r="AC40" s="59">
        <f t="shared" si="8"/>
        <v>200000</v>
      </c>
      <c r="AD40" s="47"/>
      <c r="AE40" s="59">
        <f>SUM(AE38:AE39)</f>
        <v>754888</v>
      </c>
      <c r="AF40" s="59">
        <f>SUM(AF38:AF39)</f>
        <v>0</v>
      </c>
      <c r="AG40" s="47"/>
      <c r="AH40" s="53">
        <f>SUM(P40:AG40)</f>
        <v>1961016</v>
      </c>
      <c r="AI40" s="51"/>
      <c r="AJ40" s="55">
        <f>I40-AH40</f>
        <v>0</v>
      </c>
    </row>
    <row r="41" spans="1:36" s="36" customFormat="1" ht="15.75" x14ac:dyDescent="0.25">
      <c r="A41" s="106" t="s">
        <v>234</v>
      </c>
      <c r="B41" s="107"/>
      <c r="C41" s="101" t="s">
        <v>373</v>
      </c>
      <c r="D41" s="102"/>
      <c r="E41" s="102"/>
      <c r="F41" s="102"/>
      <c r="G41" s="102"/>
      <c r="H41" s="84"/>
      <c r="I41" s="193"/>
      <c r="J41" s="103"/>
      <c r="K41" s="103"/>
      <c r="L41" s="103"/>
      <c r="M41" s="103"/>
      <c r="N41" s="103"/>
      <c r="O41" s="47"/>
      <c r="P41" s="85"/>
      <c r="Q41" s="47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47"/>
      <c r="AE41" s="103"/>
      <c r="AF41" s="103"/>
      <c r="AG41" s="47"/>
      <c r="AH41" s="85"/>
      <c r="AI41" s="51"/>
      <c r="AJ41" s="218"/>
    </row>
    <row r="42" spans="1:36" s="36" customFormat="1" ht="15.75" x14ac:dyDescent="0.25">
      <c r="A42" s="34" t="s">
        <v>238</v>
      </c>
      <c r="B42" s="35" t="s">
        <v>239</v>
      </c>
      <c r="C42" s="52" t="s">
        <v>45</v>
      </c>
      <c r="D42" s="52" t="s">
        <v>45</v>
      </c>
      <c r="E42" s="52" t="s">
        <v>320</v>
      </c>
      <c r="F42" s="52">
        <v>44372</v>
      </c>
      <c r="G42" s="52">
        <v>44673</v>
      </c>
      <c r="H42" s="50">
        <f>((G42-F42)/7)/4.3</f>
        <v>10</v>
      </c>
      <c r="I42" s="182">
        <v>1219262</v>
      </c>
      <c r="J42" s="53"/>
      <c r="K42" s="53"/>
      <c r="L42" s="53"/>
      <c r="M42" s="53"/>
      <c r="N42" s="53"/>
      <c r="O42" s="47"/>
      <c r="P42" s="115">
        <v>1206322</v>
      </c>
      <c r="Q42" s="47"/>
      <c r="R42" s="115">
        <v>11381</v>
      </c>
      <c r="S42" s="115">
        <v>0</v>
      </c>
      <c r="T42" s="115">
        <v>0</v>
      </c>
      <c r="U42" s="115">
        <v>0</v>
      </c>
      <c r="V42" s="115">
        <v>0</v>
      </c>
      <c r="W42" s="115">
        <v>0</v>
      </c>
      <c r="X42" s="54">
        <v>1559</v>
      </c>
      <c r="Y42" s="58"/>
      <c r="Z42" s="58"/>
      <c r="AA42" s="58"/>
      <c r="AB42" s="58"/>
      <c r="AC42" s="58"/>
      <c r="AD42" s="47"/>
      <c r="AE42" s="58"/>
      <c r="AF42" s="53"/>
      <c r="AG42" s="47"/>
      <c r="AH42" s="53">
        <f>SUM(P42:AG42)</f>
        <v>1219262</v>
      </c>
      <c r="AI42" s="51"/>
      <c r="AJ42" s="55">
        <f t="shared" ref="AJ42:AJ50" si="9">I42-AH42</f>
        <v>0</v>
      </c>
    </row>
    <row r="43" spans="1:36" s="36" customFormat="1" ht="15.75" x14ac:dyDescent="0.25">
      <c r="A43" s="34" t="s">
        <v>273</v>
      </c>
      <c r="B43" s="35" t="s">
        <v>274</v>
      </c>
      <c r="C43" s="52"/>
      <c r="D43" s="52"/>
      <c r="E43" s="52"/>
      <c r="F43" s="52"/>
      <c r="G43" s="52"/>
      <c r="H43" s="50"/>
      <c r="I43" s="182">
        <v>577676</v>
      </c>
      <c r="J43" s="53"/>
      <c r="K43" s="53"/>
      <c r="L43" s="53"/>
      <c r="M43" s="53"/>
      <c r="N43" s="53"/>
      <c r="O43" s="47"/>
      <c r="P43" s="115">
        <v>568341</v>
      </c>
      <c r="Q43" s="47"/>
      <c r="R43" s="115">
        <v>2335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54">
        <v>7000</v>
      </c>
      <c r="Y43" s="58"/>
      <c r="Z43" s="58"/>
      <c r="AA43" s="53"/>
      <c r="AB43" s="53"/>
      <c r="AC43" s="53"/>
      <c r="AD43" s="47"/>
      <c r="AE43" s="58"/>
      <c r="AF43" s="58"/>
      <c r="AG43" s="47"/>
      <c r="AH43" s="53">
        <f>SUM(P43:AG43)</f>
        <v>577676</v>
      </c>
      <c r="AI43" s="51"/>
      <c r="AJ43" s="55">
        <f t="shared" si="9"/>
        <v>0</v>
      </c>
    </row>
    <row r="44" spans="1:36" s="36" customFormat="1" ht="15.75" x14ac:dyDescent="0.25">
      <c r="A44" s="62"/>
      <c r="B44" s="63"/>
      <c r="C44" s="52"/>
      <c r="D44" s="52"/>
      <c r="E44" s="52"/>
      <c r="F44" s="52"/>
      <c r="G44" s="52"/>
      <c r="H44" s="50"/>
      <c r="I44" s="182"/>
      <c r="J44" s="53"/>
      <c r="K44" s="53"/>
      <c r="L44" s="53"/>
      <c r="M44" s="53"/>
      <c r="N44" s="53"/>
      <c r="O44" s="47"/>
      <c r="P44" s="115"/>
      <c r="Q44" s="47"/>
      <c r="R44" s="115">
        <v>0</v>
      </c>
      <c r="S44" s="115"/>
      <c r="T44" s="115"/>
      <c r="U44" s="115"/>
      <c r="V44" s="115"/>
      <c r="W44" s="115"/>
      <c r="X44" s="58"/>
      <c r="Y44" s="58"/>
      <c r="Z44" s="58"/>
      <c r="AA44" s="53"/>
      <c r="AB44" s="53"/>
      <c r="AC44" s="53"/>
      <c r="AD44" s="47"/>
      <c r="AE44" s="58"/>
      <c r="AF44" s="58"/>
      <c r="AG44" s="47"/>
      <c r="AH44" s="53"/>
      <c r="AI44" s="51"/>
      <c r="AJ44" s="55">
        <f t="shared" si="9"/>
        <v>0</v>
      </c>
    </row>
    <row r="45" spans="1:36" s="36" customFormat="1" ht="15.75" x14ac:dyDescent="0.25">
      <c r="A45" s="93"/>
      <c r="B45" s="94"/>
      <c r="C45" s="91"/>
      <c r="D45" s="91"/>
      <c r="E45" s="91"/>
      <c r="F45" s="91"/>
      <c r="G45" s="91"/>
      <c r="H45" s="92"/>
      <c r="I45" s="59">
        <f>SUM(I42:I44)</f>
        <v>1796938</v>
      </c>
      <c r="J45" s="59"/>
      <c r="K45" s="59"/>
      <c r="L45" s="59"/>
      <c r="M45" s="59"/>
      <c r="N45" s="59"/>
      <c r="O45" s="47"/>
      <c r="P45" s="59">
        <f>SUM(P42:P44)</f>
        <v>1774663</v>
      </c>
      <c r="Q45" s="47"/>
      <c r="R45" s="59">
        <f>SUM(R42:R44)</f>
        <v>13716</v>
      </c>
      <c r="S45" s="59">
        <f t="shared" ref="S45:AC45" si="10">SUM(S42:S44)</f>
        <v>0</v>
      </c>
      <c r="T45" s="59">
        <f t="shared" si="10"/>
        <v>0</v>
      </c>
      <c r="U45" s="59">
        <f t="shared" si="10"/>
        <v>0</v>
      </c>
      <c r="V45" s="59">
        <f t="shared" si="10"/>
        <v>0</v>
      </c>
      <c r="W45" s="59">
        <f t="shared" si="10"/>
        <v>0</v>
      </c>
      <c r="X45" s="59">
        <f t="shared" si="10"/>
        <v>8559</v>
      </c>
      <c r="Y45" s="59">
        <f t="shared" si="10"/>
        <v>0</v>
      </c>
      <c r="Z45" s="59">
        <f t="shared" si="10"/>
        <v>0</v>
      </c>
      <c r="AA45" s="59">
        <f t="shared" si="10"/>
        <v>0</v>
      </c>
      <c r="AB45" s="59">
        <f t="shared" si="10"/>
        <v>0</v>
      </c>
      <c r="AC45" s="59">
        <f t="shared" si="10"/>
        <v>0</v>
      </c>
      <c r="AD45" s="47"/>
      <c r="AE45" s="59">
        <f>SUM(AE42:AE44)</f>
        <v>0</v>
      </c>
      <c r="AF45" s="59">
        <f>SUM(AF42:AF44)</f>
        <v>0</v>
      </c>
      <c r="AG45" s="47"/>
      <c r="AH45" s="53">
        <f>SUM(P45:AG45)</f>
        <v>1796938</v>
      </c>
      <c r="AI45" s="51"/>
      <c r="AJ45" s="55">
        <f t="shared" si="9"/>
        <v>0</v>
      </c>
    </row>
    <row r="46" spans="1:36" s="36" customFormat="1" ht="15.75" x14ac:dyDescent="0.25">
      <c r="A46" s="106" t="s">
        <v>52</v>
      </c>
      <c r="B46" s="107"/>
      <c r="C46" s="101" t="s">
        <v>373</v>
      </c>
      <c r="D46" s="102"/>
      <c r="E46" s="102"/>
      <c r="F46" s="102"/>
      <c r="G46" s="102"/>
      <c r="H46" s="84"/>
      <c r="I46" s="193"/>
      <c r="J46" s="103"/>
      <c r="K46" s="103"/>
      <c r="L46" s="103"/>
      <c r="M46" s="103"/>
      <c r="N46" s="103"/>
      <c r="O46" s="47"/>
      <c r="P46" s="85"/>
      <c r="Q46" s="47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47"/>
      <c r="AE46" s="103"/>
      <c r="AF46" s="103"/>
      <c r="AG46" s="47"/>
      <c r="AH46" s="85"/>
      <c r="AI46" s="51"/>
      <c r="AJ46" s="218">
        <f t="shared" si="9"/>
        <v>0</v>
      </c>
    </row>
    <row r="47" spans="1:36" s="36" customFormat="1" ht="15.75" x14ac:dyDescent="0.25">
      <c r="A47" s="60" t="s">
        <v>49</v>
      </c>
      <c r="B47" s="61" t="s">
        <v>374</v>
      </c>
      <c r="C47" s="52" t="s">
        <v>373</v>
      </c>
      <c r="D47" s="52" t="s">
        <v>375</v>
      </c>
      <c r="E47" s="52" t="s">
        <v>370</v>
      </c>
      <c r="F47" s="87">
        <v>44033</v>
      </c>
      <c r="G47" s="87">
        <v>44371</v>
      </c>
      <c r="H47" s="88">
        <f>((G47-F47)/7)/4.3</f>
        <v>11.22923588039867</v>
      </c>
      <c r="I47" s="181">
        <v>9534114</v>
      </c>
      <c r="J47" s="53">
        <v>8913792</v>
      </c>
      <c r="K47" s="53">
        <f>I47-J47</f>
        <v>620322</v>
      </c>
      <c r="L47" s="53">
        <v>8917546</v>
      </c>
      <c r="M47" s="53">
        <f>I47-L47</f>
        <v>616568</v>
      </c>
      <c r="N47" s="53">
        <f>K47-M47</f>
        <v>3754</v>
      </c>
      <c r="O47" s="47"/>
      <c r="P47" s="115">
        <v>4251267</v>
      </c>
      <c r="Q47" s="47"/>
      <c r="R47" s="115">
        <v>974630</v>
      </c>
      <c r="S47" s="115">
        <v>965506</v>
      </c>
      <c r="T47" s="115">
        <v>726926</v>
      </c>
      <c r="U47" s="115">
        <v>1007479</v>
      </c>
      <c r="V47" s="115">
        <v>748387</v>
      </c>
      <c r="W47" s="115">
        <v>599421</v>
      </c>
      <c r="X47" s="54">
        <v>260498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47"/>
      <c r="AE47" s="53"/>
      <c r="AF47" s="53"/>
      <c r="AG47" s="47"/>
      <c r="AH47" s="53">
        <f>SUM(P47:AG47)</f>
        <v>9534114</v>
      </c>
      <c r="AI47" s="51"/>
      <c r="AJ47" s="218">
        <f t="shared" si="9"/>
        <v>0</v>
      </c>
    </row>
    <row r="48" spans="1:36" s="36" customFormat="1" ht="15.75" x14ac:dyDescent="0.25">
      <c r="A48" s="34" t="s">
        <v>55</v>
      </c>
      <c r="B48" s="35" t="s">
        <v>376</v>
      </c>
      <c r="C48" s="52" t="s">
        <v>373</v>
      </c>
      <c r="D48" s="52" t="s">
        <v>401</v>
      </c>
      <c r="E48" s="52" t="s">
        <v>370</v>
      </c>
      <c r="F48" s="87">
        <v>44124</v>
      </c>
      <c r="G48" s="87">
        <v>44354</v>
      </c>
      <c r="H48" s="88">
        <f>((G48-F48)/7)/4.3</f>
        <v>7.6411960132890364</v>
      </c>
      <c r="I48" s="181">
        <v>1208821</v>
      </c>
      <c r="J48" s="53">
        <v>1021270</v>
      </c>
      <c r="K48" s="53">
        <f>I48-J48</f>
        <v>187551</v>
      </c>
      <c r="L48" s="53">
        <v>945919</v>
      </c>
      <c r="M48" s="53">
        <f>I48-L48</f>
        <v>262902</v>
      </c>
      <c r="N48" s="53">
        <f>K48-M48</f>
        <v>-75351</v>
      </c>
      <c r="O48" s="47"/>
      <c r="P48" s="115">
        <v>501155</v>
      </c>
      <c r="Q48" s="47"/>
      <c r="R48" s="115">
        <v>186495</v>
      </c>
      <c r="S48" s="115">
        <v>202246</v>
      </c>
      <c r="T48" s="115">
        <v>66602</v>
      </c>
      <c r="U48" s="115">
        <v>48430</v>
      </c>
      <c r="V48" s="115">
        <v>7649</v>
      </c>
      <c r="W48" s="115">
        <v>118643</v>
      </c>
      <c r="X48" s="54">
        <v>77601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47"/>
      <c r="AE48" s="53"/>
      <c r="AF48" s="53"/>
      <c r="AG48" s="47"/>
      <c r="AH48" s="53">
        <f>SUM(P48:AG48)</f>
        <v>1208821</v>
      </c>
      <c r="AI48" s="51"/>
      <c r="AJ48" s="218">
        <f t="shared" si="9"/>
        <v>0</v>
      </c>
    </row>
    <row r="49" spans="1:36" s="36" customFormat="1" ht="15.75" x14ac:dyDescent="0.25">
      <c r="A49" s="34" t="s">
        <v>60</v>
      </c>
      <c r="B49" s="35" t="s">
        <v>377</v>
      </c>
      <c r="C49" s="52" t="s">
        <v>373</v>
      </c>
      <c r="D49" s="52" t="s">
        <v>378</v>
      </c>
      <c r="E49" s="52" t="s">
        <v>370</v>
      </c>
      <c r="F49" s="87">
        <v>44119</v>
      </c>
      <c r="G49" s="87">
        <v>44546</v>
      </c>
      <c r="H49" s="88">
        <f>((G49-F49)/7)/4.3</f>
        <v>14.186046511627907</v>
      </c>
      <c r="I49" s="181">
        <v>13107911</v>
      </c>
      <c r="J49" s="53">
        <v>12555112</v>
      </c>
      <c r="K49" s="53">
        <f>I49-J49</f>
        <v>552799</v>
      </c>
      <c r="L49" s="53">
        <v>12611053</v>
      </c>
      <c r="M49" s="53">
        <f>I49-L49</f>
        <v>496858</v>
      </c>
      <c r="N49" s="53">
        <f>K49-M49</f>
        <v>55941</v>
      </c>
      <c r="O49" s="47"/>
      <c r="P49" s="115">
        <v>802663</v>
      </c>
      <c r="Q49" s="47"/>
      <c r="R49" s="115">
        <v>1051823</v>
      </c>
      <c r="S49" s="115">
        <v>822272</v>
      </c>
      <c r="T49" s="115">
        <v>1170091</v>
      </c>
      <c r="U49" s="115">
        <v>1068761</v>
      </c>
      <c r="V49" s="115">
        <v>823660</v>
      </c>
      <c r="W49" s="115">
        <v>1536928</v>
      </c>
      <c r="X49" s="54">
        <v>1379154</v>
      </c>
      <c r="Y49" s="54">
        <v>1270563</v>
      </c>
      <c r="Z49" s="54">
        <v>950000</v>
      </c>
      <c r="AA49" s="54">
        <v>950000</v>
      </c>
      <c r="AB49" s="54">
        <v>800000</v>
      </c>
      <c r="AC49" s="54">
        <v>350000</v>
      </c>
      <c r="AD49" s="47"/>
      <c r="AE49" s="53">
        <v>131996</v>
      </c>
      <c r="AF49" s="53"/>
      <c r="AG49" s="47"/>
      <c r="AH49" s="53">
        <f>SUM(P49:AG49)</f>
        <v>13107911</v>
      </c>
      <c r="AI49" s="51"/>
      <c r="AJ49" s="218">
        <f t="shared" si="9"/>
        <v>0</v>
      </c>
    </row>
    <row r="50" spans="1:36" s="36" customFormat="1" ht="15.75" x14ac:dyDescent="0.25">
      <c r="A50" s="93"/>
      <c r="B50" s="94"/>
      <c r="C50" s="91"/>
      <c r="D50" s="91"/>
      <c r="E50" s="91"/>
      <c r="F50" s="91"/>
      <c r="G50" s="91"/>
      <c r="H50" s="92"/>
      <c r="I50" s="243">
        <f>SUM(I47:I49)</f>
        <v>23850846</v>
      </c>
      <c r="J50" s="59"/>
      <c r="K50" s="59"/>
      <c r="L50" s="59"/>
      <c r="M50" s="59"/>
      <c r="N50" s="59"/>
      <c r="O50" s="47"/>
      <c r="P50" s="59">
        <f>SUM(P47:P49)</f>
        <v>5555085</v>
      </c>
      <c r="Q50" s="47"/>
      <c r="R50" s="59">
        <f t="shared" ref="R50:AC50" si="11">SUM(R47:R49)</f>
        <v>2212948</v>
      </c>
      <c r="S50" s="59">
        <f t="shared" si="11"/>
        <v>1990024</v>
      </c>
      <c r="T50" s="59">
        <f t="shared" si="11"/>
        <v>1963619</v>
      </c>
      <c r="U50" s="59">
        <f t="shared" si="11"/>
        <v>2124670</v>
      </c>
      <c r="V50" s="59">
        <f t="shared" si="11"/>
        <v>1579696</v>
      </c>
      <c r="W50" s="59">
        <f t="shared" si="11"/>
        <v>2254992</v>
      </c>
      <c r="X50" s="59">
        <f t="shared" si="11"/>
        <v>1717253</v>
      </c>
      <c r="Y50" s="59">
        <f t="shared" si="11"/>
        <v>1270563</v>
      </c>
      <c r="Z50" s="59">
        <f t="shared" si="11"/>
        <v>950000</v>
      </c>
      <c r="AA50" s="59">
        <f t="shared" si="11"/>
        <v>950000</v>
      </c>
      <c r="AB50" s="59">
        <f t="shared" si="11"/>
        <v>800000</v>
      </c>
      <c r="AC50" s="59">
        <f t="shared" si="11"/>
        <v>350000</v>
      </c>
      <c r="AD50" s="47"/>
      <c r="AE50" s="59">
        <f>SUM(AE46:AE49)</f>
        <v>131996</v>
      </c>
      <c r="AF50" s="59">
        <f>SUM(AF46:AF49)</f>
        <v>0</v>
      </c>
      <c r="AG50" s="47"/>
      <c r="AH50" s="53">
        <f>SUM(P50:AG50)</f>
        <v>23850846</v>
      </c>
      <c r="AI50" s="51"/>
      <c r="AJ50" s="218">
        <f t="shared" si="9"/>
        <v>0</v>
      </c>
    </row>
    <row r="51" spans="1:36" s="36" customFormat="1" ht="15.75" x14ac:dyDescent="0.25">
      <c r="A51" s="106" t="s">
        <v>517</v>
      </c>
      <c r="B51" s="107"/>
      <c r="C51" s="101" t="s">
        <v>373</v>
      </c>
      <c r="D51" s="102"/>
      <c r="E51" s="102"/>
      <c r="F51" s="102"/>
      <c r="G51" s="102"/>
      <c r="H51" s="84"/>
      <c r="I51" s="193"/>
      <c r="J51" s="103"/>
      <c r="K51" s="103"/>
      <c r="L51" s="103"/>
      <c r="M51" s="103"/>
      <c r="N51" s="103"/>
      <c r="O51" s="47"/>
      <c r="P51" s="85"/>
      <c r="Q51" s="47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47"/>
      <c r="AE51" s="103"/>
      <c r="AF51" s="103"/>
      <c r="AG51" s="47"/>
      <c r="AH51" s="85"/>
      <c r="AI51" s="51"/>
      <c r="AJ51" s="55"/>
    </row>
    <row r="52" spans="1:36" s="36" customFormat="1" ht="15.75" x14ac:dyDescent="0.25">
      <c r="A52" s="34" t="s">
        <v>534</v>
      </c>
      <c r="B52" s="35" t="s">
        <v>533</v>
      </c>
      <c r="C52" s="52"/>
      <c r="D52" s="52"/>
      <c r="E52" s="52"/>
      <c r="F52" s="52"/>
      <c r="G52" s="52"/>
      <c r="H52" s="50"/>
      <c r="I52" s="182">
        <v>67027</v>
      </c>
      <c r="J52" s="53"/>
      <c r="K52" s="53"/>
      <c r="L52" s="53"/>
      <c r="M52" s="53"/>
      <c r="N52" s="53"/>
      <c r="O52" s="47"/>
      <c r="P52" s="115">
        <v>0</v>
      </c>
      <c r="Q52" s="47"/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67027</v>
      </c>
      <c r="X52" s="53"/>
      <c r="Y52" s="53"/>
      <c r="Z52" s="53"/>
      <c r="AA52" s="53"/>
      <c r="AB52" s="53"/>
      <c r="AC52" s="53"/>
      <c r="AD52" s="47"/>
      <c r="AE52" s="53"/>
      <c r="AF52" s="53"/>
      <c r="AG52" s="47"/>
      <c r="AH52" s="53">
        <f t="shared" ref="AH52:AH57" si="12">SUM(P52:AG52)</f>
        <v>67027</v>
      </c>
      <c r="AI52" s="51"/>
      <c r="AJ52" s="218">
        <f t="shared" ref="AJ52:AJ57" si="13">I52-AH52</f>
        <v>0</v>
      </c>
    </row>
    <row r="53" spans="1:36" s="36" customFormat="1" ht="15.75" x14ac:dyDescent="0.25">
      <c r="A53" s="60" t="s">
        <v>113</v>
      </c>
      <c r="B53" s="61" t="s">
        <v>420</v>
      </c>
      <c r="C53" s="52" t="s">
        <v>386</v>
      </c>
      <c r="D53" s="52" t="s">
        <v>386</v>
      </c>
      <c r="E53" s="52" t="s">
        <v>370</v>
      </c>
      <c r="F53" s="52">
        <v>44256</v>
      </c>
      <c r="G53" s="52">
        <v>44347</v>
      </c>
      <c r="H53" s="50">
        <f>((G53-F53)/7)/4.3</f>
        <v>3.0232558139534884</v>
      </c>
      <c r="I53" s="182">
        <v>52095</v>
      </c>
      <c r="J53" s="53"/>
      <c r="K53" s="53"/>
      <c r="L53" s="53"/>
      <c r="M53" s="53"/>
      <c r="N53" s="53"/>
      <c r="O53" s="47"/>
      <c r="P53" s="115">
        <v>0</v>
      </c>
      <c r="Q53" s="47"/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52095</v>
      </c>
      <c r="X53" s="53"/>
      <c r="Y53" s="53"/>
      <c r="Z53" s="53"/>
      <c r="AA53" s="53"/>
      <c r="AB53" s="53"/>
      <c r="AC53" s="53"/>
      <c r="AD53" s="47"/>
      <c r="AE53" s="53"/>
      <c r="AF53" s="53"/>
      <c r="AG53" s="47"/>
      <c r="AH53" s="53">
        <f t="shared" si="12"/>
        <v>52095</v>
      </c>
      <c r="AI53" s="51"/>
      <c r="AJ53" s="218">
        <f t="shared" si="13"/>
        <v>0</v>
      </c>
    </row>
    <row r="54" spans="1:36" s="36" customFormat="1" ht="15.75" x14ac:dyDescent="0.25">
      <c r="A54" s="34" t="s">
        <v>199</v>
      </c>
      <c r="B54" s="34" t="s">
        <v>535</v>
      </c>
      <c r="C54" s="52"/>
      <c r="D54" s="52"/>
      <c r="E54" s="52"/>
      <c r="F54" s="52"/>
      <c r="G54" s="52"/>
      <c r="H54" s="50"/>
      <c r="I54" s="182">
        <v>156692</v>
      </c>
      <c r="J54" s="53"/>
      <c r="K54" s="53"/>
      <c r="L54" s="53"/>
      <c r="M54" s="53"/>
      <c r="N54" s="53"/>
      <c r="O54" s="47"/>
      <c r="P54" s="115"/>
      <c r="Q54" s="47"/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54">
        <v>156692</v>
      </c>
      <c r="Y54" s="53"/>
      <c r="Z54" s="53"/>
      <c r="AA54" s="53"/>
      <c r="AB54" s="53"/>
      <c r="AC54" s="53"/>
      <c r="AD54" s="47"/>
      <c r="AE54" s="53"/>
      <c r="AF54" s="53"/>
      <c r="AG54" s="47"/>
      <c r="AH54" s="53">
        <f t="shared" si="12"/>
        <v>156692</v>
      </c>
      <c r="AI54" s="51"/>
      <c r="AJ54" s="218">
        <f t="shared" si="13"/>
        <v>0</v>
      </c>
    </row>
    <row r="55" spans="1:36" s="36" customFormat="1" ht="15.75" x14ac:dyDescent="0.25">
      <c r="A55" s="34" t="s">
        <v>201</v>
      </c>
      <c r="B55" s="34" t="s">
        <v>493</v>
      </c>
      <c r="C55" s="52"/>
      <c r="D55" s="52"/>
      <c r="E55" s="52"/>
      <c r="F55" s="52"/>
      <c r="G55" s="52"/>
      <c r="H55" s="50"/>
      <c r="I55" s="182">
        <v>94557</v>
      </c>
      <c r="J55" s="53"/>
      <c r="K55" s="53"/>
      <c r="L55" s="53"/>
      <c r="M55" s="53"/>
      <c r="N55" s="53"/>
      <c r="O55" s="47"/>
      <c r="P55" s="115"/>
      <c r="Q55" s="47"/>
      <c r="R55" s="115">
        <v>0</v>
      </c>
      <c r="S55" s="115">
        <v>0</v>
      </c>
      <c r="T55" s="115">
        <v>0</v>
      </c>
      <c r="U55" s="115">
        <v>0</v>
      </c>
      <c r="V55" s="115">
        <v>0</v>
      </c>
      <c r="W55" s="115">
        <v>0</v>
      </c>
      <c r="X55" s="54">
        <v>94557</v>
      </c>
      <c r="Y55" s="53"/>
      <c r="Z55" s="53"/>
      <c r="AA55" s="53"/>
      <c r="AB55" s="53"/>
      <c r="AC55" s="53"/>
      <c r="AD55" s="47"/>
      <c r="AE55" s="53"/>
      <c r="AF55" s="53"/>
      <c r="AG55" s="47"/>
      <c r="AH55" s="53">
        <f t="shared" si="12"/>
        <v>94557</v>
      </c>
      <c r="AI55" s="51"/>
      <c r="AJ55" s="218">
        <f t="shared" si="13"/>
        <v>0</v>
      </c>
    </row>
    <row r="56" spans="1:36" s="36" customFormat="1" ht="15.75" x14ac:dyDescent="0.25">
      <c r="A56" s="34" t="s">
        <v>529</v>
      </c>
      <c r="B56" s="34" t="s">
        <v>530</v>
      </c>
      <c r="C56" s="52"/>
      <c r="D56" s="52"/>
      <c r="E56" s="52"/>
      <c r="F56" s="52"/>
      <c r="G56" s="52"/>
      <c r="H56" s="50"/>
      <c r="I56" s="182">
        <v>101240</v>
      </c>
      <c r="J56" s="53"/>
      <c r="K56" s="53"/>
      <c r="L56" s="53"/>
      <c r="M56" s="53"/>
      <c r="N56" s="53"/>
      <c r="O56" s="47"/>
      <c r="P56" s="115"/>
      <c r="Q56" s="47"/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54">
        <v>101240</v>
      </c>
      <c r="Y56" s="53"/>
      <c r="Z56" s="53"/>
      <c r="AA56" s="53"/>
      <c r="AB56" s="53"/>
      <c r="AC56" s="53"/>
      <c r="AD56" s="47"/>
      <c r="AE56" s="53"/>
      <c r="AF56" s="53"/>
      <c r="AG56" s="47"/>
      <c r="AH56" s="53">
        <f t="shared" si="12"/>
        <v>101240</v>
      </c>
      <c r="AI56" s="51"/>
      <c r="AJ56" s="218">
        <f t="shared" si="13"/>
        <v>0</v>
      </c>
    </row>
    <row r="57" spans="1:36" s="36" customFormat="1" ht="15.75" x14ac:dyDescent="0.25">
      <c r="A57" s="34" t="s">
        <v>527</v>
      </c>
      <c r="B57" s="35" t="s">
        <v>528</v>
      </c>
      <c r="C57" s="52"/>
      <c r="D57" s="52"/>
      <c r="E57" s="52"/>
      <c r="F57" s="52"/>
      <c r="G57" s="52"/>
      <c r="H57" s="50"/>
      <c r="I57" s="182">
        <v>36900</v>
      </c>
      <c r="J57" s="53"/>
      <c r="K57" s="53"/>
      <c r="L57" s="53"/>
      <c r="M57" s="53"/>
      <c r="N57" s="53"/>
      <c r="O57" s="47"/>
      <c r="P57" s="115"/>
      <c r="Q57" s="47"/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54">
        <v>36900</v>
      </c>
      <c r="Y57" s="58"/>
      <c r="Z57" s="58"/>
      <c r="AA57" s="53"/>
      <c r="AB57" s="53"/>
      <c r="AC57" s="53"/>
      <c r="AD57" s="47"/>
      <c r="AE57" s="58"/>
      <c r="AF57" s="58"/>
      <c r="AG57" s="47"/>
      <c r="AH57" s="53">
        <f t="shared" si="12"/>
        <v>36900</v>
      </c>
      <c r="AI57" s="51"/>
      <c r="AJ57" s="218">
        <f t="shared" si="13"/>
        <v>0</v>
      </c>
    </row>
    <row r="58" spans="1:36" s="36" customFormat="1" ht="15.75" x14ac:dyDescent="0.25">
      <c r="A58" s="34"/>
      <c r="B58" s="34" t="s">
        <v>494</v>
      </c>
      <c r="C58" s="52"/>
      <c r="D58" s="52"/>
      <c r="E58" s="52"/>
      <c r="F58" s="52"/>
      <c r="G58" s="52"/>
      <c r="H58" s="50"/>
      <c r="I58" s="53"/>
      <c r="J58" s="53"/>
      <c r="K58" s="53"/>
      <c r="L58" s="53"/>
      <c r="M58" s="53"/>
      <c r="N58" s="53"/>
      <c r="O58" s="47"/>
      <c r="P58" s="115"/>
      <c r="Q58" s="47"/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53"/>
      <c r="Y58" s="53"/>
      <c r="Z58" s="53"/>
      <c r="AA58" s="53"/>
      <c r="AB58" s="53"/>
      <c r="AC58" s="53"/>
      <c r="AD58" s="47"/>
      <c r="AE58" s="53"/>
      <c r="AF58" s="53"/>
      <c r="AG58" s="47"/>
      <c r="AH58" s="53"/>
      <c r="AI58" s="51"/>
      <c r="AJ58" s="218">
        <f>I58-AH58</f>
        <v>0</v>
      </c>
    </row>
    <row r="59" spans="1:36" s="36" customFormat="1" ht="15.75" x14ac:dyDescent="0.25">
      <c r="A59" s="34"/>
      <c r="B59" s="35"/>
      <c r="C59" s="52"/>
      <c r="D59" s="52"/>
      <c r="E59" s="52"/>
      <c r="F59" s="52"/>
      <c r="G59" s="52"/>
      <c r="H59" s="50"/>
      <c r="I59" s="53"/>
      <c r="J59" s="53"/>
      <c r="K59" s="53"/>
      <c r="L59" s="53"/>
      <c r="M59" s="53"/>
      <c r="N59" s="53"/>
      <c r="O59" s="47"/>
      <c r="P59" s="115"/>
      <c r="Q59" s="47"/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58"/>
      <c r="Y59" s="58"/>
      <c r="Z59" s="58"/>
      <c r="AA59" s="53"/>
      <c r="AB59" s="53"/>
      <c r="AC59" s="53"/>
      <c r="AD59" s="47"/>
      <c r="AE59" s="58"/>
      <c r="AF59" s="58"/>
      <c r="AG59" s="47"/>
      <c r="AH59" s="53">
        <f>SUM(P59:AG59)</f>
        <v>0</v>
      </c>
      <c r="AI59" s="51"/>
      <c r="AJ59" s="218">
        <f>I59-AH59</f>
        <v>0</v>
      </c>
    </row>
    <row r="60" spans="1:36" s="36" customFormat="1" ht="15.75" x14ac:dyDescent="0.25">
      <c r="A60" s="93"/>
      <c r="B60" s="94"/>
      <c r="C60" s="91"/>
      <c r="D60" s="91"/>
      <c r="E60" s="91"/>
      <c r="F60" s="91"/>
      <c r="G60" s="91"/>
      <c r="H60" s="92"/>
      <c r="I60" s="59">
        <f>SUM(I52:N59)</f>
        <v>508511</v>
      </c>
      <c r="J60" s="59"/>
      <c r="K60" s="59"/>
      <c r="L60" s="59"/>
      <c r="M60" s="59"/>
      <c r="N60" s="59"/>
      <c r="O60" s="47"/>
      <c r="P60" s="59">
        <f>SUM(P52:P59)</f>
        <v>0</v>
      </c>
      <c r="Q60" s="47"/>
      <c r="R60" s="59">
        <f>SUM(R52:R59)</f>
        <v>0</v>
      </c>
      <c r="S60" s="59">
        <f t="shared" ref="S60:AC60" si="14">SUM(S52:S59)</f>
        <v>0</v>
      </c>
      <c r="T60" s="59">
        <f t="shared" si="14"/>
        <v>0</v>
      </c>
      <c r="U60" s="59">
        <f t="shared" si="14"/>
        <v>0</v>
      </c>
      <c r="V60" s="59">
        <f t="shared" si="14"/>
        <v>0</v>
      </c>
      <c r="W60" s="59">
        <f t="shared" si="14"/>
        <v>119122</v>
      </c>
      <c r="X60" s="59">
        <f t="shared" si="14"/>
        <v>389389</v>
      </c>
      <c r="Y60" s="59">
        <f t="shared" si="14"/>
        <v>0</v>
      </c>
      <c r="Z60" s="59">
        <f t="shared" si="14"/>
        <v>0</v>
      </c>
      <c r="AA60" s="59">
        <f t="shared" si="14"/>
        <v>0</v>
      </c>
      <c r="AB60" s="59">
        <f t="shared" si="14"/>
        <v>0</v>
      </c>
      <c r="AC60" s="59">
        <f t="shared" si="14"/>
        <v>0</v>
      </c>
      <c r="AD60" s="47"/>
      <c r="AE60" s="59">
        <f>SUM(AE52:AE59)</f>
        <v>0</v>
      </c>
      <c r="AF60" s="59">
        <f>SUM(AF52:AF59)</f>
        <v>0</v>
      </c>
      <c r="AG60" s="47"/>
      <c r="AH60" s="53">
        <f>SUM(P60:AG60)</f>
        <v>508511</v>
      </c>
      <c r="AI60" s="51"/>
      <c r="AJ60" s="218">
        <f>I60-AH60</f>
        <v>0</v>
      </c>
    </row>
    <row r="61" spans="1:36" s="36" customFormat="1" ht="15.75" x14ac:dyDescent="0.25">
      <c r="A61" s="106" t="s">
        <v>119</v>
      </c>
      <c r="B61" s="107"/>
      <c r="C61" s="101" t="s">
        <v>387</v>
      </c>
      <c r="D61" s="102"/>
      <c r="E61" s="102"/>
      <c r="F61" s="102"/>
      <c r="G61" s="102"/>
      <c r="H61" s="84"/>
      <c r="I61" s="193" t="s">
        <v>444</v>
      </c>
      <c r="J61" s="103"/>
      <c r="K61" s="103"/>
      <c r="L61" s="103"/>
      <c r="M61" s="103"/>
      <c r="N61" s="103"/>
      <c r="O61" s="47"/>
      <c r="P61" s="85"/>
      <c r="Q61" s="47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47"/>
      <c r="AE61" s="103"/>
      <c r="AF61" s="103"/>
      <c r="AG61" s="47"/>
      <c r="AH61" s="85"/>
      <c r="AI61" s="51"/>
      <c r="AJ61" s="218"/>
    </row>
    <row r="62" spans="1:36" s="36" customFormat="1" ht="15.75" x14ac:dyDescent="0.25">
      <c r="A62" s="244" t="s">
        <v>284</v>
      </c>
      <c r="B62" s="57" t="s">
        <v>421</v>
      </c>
      <c r="C62" s="52" t="s">
        <v>387</v>
      </c>
      <c r="D62" s="52" t="s">
        <v>402</v>
      </c>
      <c r="E62" s="52" t="s">
        <v>370</v>
      </c>
      <c r="F62" s="52"/>
      <c r="G62" s="52"/>
      <c r="H62" s="50">
        <f t="shared" ref="H62:H75" si="15">((G62-F62)/7)/4.3</f>
        <v>0</v>
      </c>
      <c r="I62" s="182">
        <v>660134</v>
      </c>
      <c r="J62" s="53"/>
      <c r="K62" s="53"/>
      <c r="L62" s="53"/>
      <c r="M62" s="53"/>
      <c r="N62" s="53"/>
      <c r="O62" s="47"/>
      <c r="P62" s="115">
        <v>568347</v>
      </c>
      <c r="Q62" s="47"/>
      <c r="R62" s="115">
        <v>879</v>
      </c>
      <c r="S62" s="115">
        <v>35573</v>
      </c>
      <c r="T62" s="115">
        <v>656</v>
      </c>
      <c r="U62" s="115">
        <v>0</v>
      </c>
      <c r="V62" s="115">
        <v>0</v>
      </c>
      <c r="W62" s="115">
        <v>535</v>
      </c>
      <c r="X62" s="54">
        <v>54144</v>
      </c>
      <c r="Y62" s="89"/>
      <c r="Z62" s="89"/>
      <c r="AA62" s="58"/>
      <c r="AB62" s="58"/>
      <c r="AC62" s="58"/>
      <c r="AD62" s="47"/>
      <c r="AE62" s="53"/>
      <c r="AF62" s="53"/>
      <c r="AG62" s="47"/>
      <c r="AH62" s="53">
        <f>SUM(P62:AG62)</f>
        <v>660134</v>
      </c>
      <c r="AI62" s="51"/>
      <c r="AJ62" s="218">
        <f>I62-AH62</f>
        <v>0</v>
      </c>
    </row>
    <row r="63" spans="1:36" s="36" customFormat="1" ht="15.75" x14ac:dyDescent="0.25">
      <c r="A63" s="244" t="s">
        <v>116</v>
      </c>
      <c r="B63" s="57" t="s">
        <v>117</v>
      </c>
      <c r="C63" s="52" t="s">
        <v>387</v>
      </c>
      <c r="D63" s="52" t="s">
        <v>402</v>
      </c>
      <c r="E63" s="52" t="s">
        <v>370</v>
      </c>
      <c r="F63" s="52">
        <v>44075</v>
      </c>
      <c r="G63" s="52">
        <v>44286</v>
      </c>
      <c r="H63" s="50">
        <f t="shared" si="15"/>
        <v>7.0099667774086383</v>
      </c>
      <c r="I63" s="182">
        <v>940687</v>
      </c>
      <c r="J63" s="53"/>
      <c r="K63" s="53"/>
      <c r="L63" s="53"/>
      <c r="M63" s="53"/>
      <c r="N63" s="53"/>
      <c r="O63" s="47"/>
      <c r="P63" s="115">
        <v>720455</v>
      </c>
      <c r="Q63" s="47"/>
      <c r="R63" s="115">
        <v>114649</v>
      </c>
      <c r="S63" s="115">
        <v>0</v>
      </c>
      <c r="T63" s="115">
        <v>105583</v>
      </c>
      <c r="U63" s="115">
        <v>0</v>
      </c>
      <c r="V63" s="115">
        <v>0</v>
      </c>
      <c r="W63" s="115">
        <v>0</v>
      </c>
      <c r="X63" s="89"/>
      <c r="Y63" s="89"/>
      <c r="Z63" s="89"/>
      <c r="AA63" s="58"/>
      <c r="AB63" s="58"/>
      <c r="AC63" s="58"/>
      <c r="AD63" s="47"/>
      <c r="AE63" s="53"/>
      <c r="AF63" s="53"/>
      <c r="AG63" s="47"/>
      <c r="AH63" s="53">
        <f>SUM(P63:AG63)</f>
        <v>940687</v>
      </c>
      <c r="AI63" s="51"/>
      <c r="AJ63" s="218">
        <f t="shared" ref="AJ63:AJ75" si="16">I63-AH63</f>
        <v>0</v>
      </c>
    </row>
    <row r="64" spans="1:36" s="36" customFormat="1" ht="15.75" x14ac:dyDescent="0.25">
      <c r="A64" s="104" t="s">
        <v>121</v>
      </c>
      <c r="B64" s="65" t="s">
        <v>122</v>
      </c>
      <c r="C64" s="52" t="s">
        <v>387</v>
      </c>
      <c r="D64" s="52" t="s">
        <v>402</v>
      </c>
      <c r="E64" s="52" t="s">
        <v>370</v>
      </c>
      <c r="F64" s="52">
        <v>44136</v>
      </c>
      <c r="G64" s="52">
        <v>44286</v>
      </c>
      <c r="H64" s="50">
        <f t="shared" si="15"/>
        <v>4.9833887043189371</v>
      </c>
      <c r="I64" s="181">
        <v>226188</v>
      </c>
      <c r="J64" s="53">
        <v>819670</v>
      </c>
      <c r="K64" s="53"/>
      <c r="L64" s="53"/>
      <c r="M64" s="53"/>
      <c r="N64" s="53"/>
      <c r="O64" s="47"/>
      <c r="P64" s="115">
        <v>64622</v>
      </c>
      <c r="Q64" s="47"/>
      <c r="R64" s="115">
        <v>39562</v>
      </c>
      <c r="S64" s="115">
        <v>18328</v>
      </c>
      <c r="T64" s="115">
        <v>101052</v>
      </c>
      <c r="U64" s="115">
        <v>2624</v>
      </c>
      <c r="V64" s="115">
        <v>0</v>
      </c>
      <c r="W64" s="115">
        <v>0</v>
      </c>
      <c r="X64" s="53"/>
      <c r="Y64" s="53"/>
      <c r="Z64" s="53"/>
      <c r="AA64" s="53"/>
      <c r="AB64" s="53"/>
      <c r="AC64" s="53"/>
      <c r="AD64" s="47"/>
      <c r="AE64" s="53"/>
      <c r="AF64" s="53"/>
      <c r="AG64" s="47"/>
      <c r="AH64" s="53">
        <f t="shared" ref="AH64:AH109" si="17">SUM(P64:AG64)</f>
        <v>226188</v>
      </c>
      <c r="AI64" s="51"/>
      <c r="AJ64" s="218">
        <f t="shared" si="16"/>
        <v>0</v>
      </c>
    </row>
    <row r="65" spans="1:36" s="36" customFormat="1" ht="15.75" x14ac:dyDescent="0.25">
      <c r="A65" s="104" t="s">
        <v>124</v>
      </c>
      <c r="B65" s="65" t="s">
        <v>125</v>
      </c>
      <c r="C65" s="52" t="s">
        <v>387</v>
      </c>
      <c r="D65" s="52" t="s">
        <v>402</v>
      </c>
      <c r="E65" s="52" t="s">
        <v>370</v>
      </c>
      <c r="F65" s="52">
        <v>44136</v>
      </c>
      <c r="G65" s="52">
        <v>44286</v>
      </c>
      <c r="H65" s="50">
        <f t="shared" si="15"/>
        <v>4.9833887043189371</v>
      </c>
      <c r="I65" s="182">
        <v>315962</v>
      </c>
      <c r="J65" s="53"/>
      <c r="K65" s="53"/>
      <c r="L65" s="53"/>
      <c r="M65" s="53"/>
      <c r="N65" s="53"/>
      <c r="O65" s="47"/>
      <c r="P65" s="115">
        <v>124791</v>
      </c>
      <c r="Q65" s="47"/>
      <c r="R65" s="115">
        <v>64927</v>
      </c>
      <c r="S65" s="115">
        <v>25844</v>
      </c>
      <c r="T65" s="115">
        <v>98461</v>
      </c>
      <c r="U65" s="115">
        <v>1939</v>
      </c>
      <c r="V65" s="115">
        <v>0</v>
      </c>
      <c r="W65" s="115">
        <v>0</v>
      </c>
      <c r="X65" s="53"/>
      <c r="Y65" s="53"/>
      <c r="Z65" s="53"/>
      <c r="AA65" s="53"/>
      <c r="AB65" s="53"/>
      <c r="AC65" s="53"/>
      <c r="AD65" s="47"/>
      <c r="AE65" s="53"/>
      <c r="AF65" s="53"/>
      <c r="AG65" s="47"/>
      <c r="AH65" s="53">
        <f t="shared" si="17"/>
        <v>315962</v>
      </c>
      <c r="AI65" s="51"/>
      <c r="AJ65" s="218">
        <f t="shared" si="16"/>
        <v>0</v>
      </c>
    </row>
    <row r="66" spans="1:36" s="36" customFormat="1" ht="15.75" x14ac:dyDescent="0.25">
      <c r="A66" s="104" t="s">
        <v>127</v>
      </c>
      <c r="B66" s="65" t="s">
        <v>396</v>
      </c>
      <c r="C66" s="52" t="s">
        <v>387</v>
      </c>
      <c r="D66" s="52" t="s">
        <v>402</v>
      </c>
      <c r="E66" s="52" t="s">
        <v>370</v>
      </c>
      <c r="F66" s="52">
        <v>44272</v>
      </c>
      <c r="G66" s="52">
        <v>44362</v>
      </c>
      <c r="H66" s="50">
        <f t="shared" si="15"/>
        <v>2.9900332225913622</v>
      </c>
      <c r="I66" s="182">
        <v>383545</v>
      </c>
      <c r="J66" s="53">
        <v>142789</v>
      </c>
      <c r="K66" s="53"/>
      <c r="L66" s="53"/>
      <c r="M66" s="53"/>
      <c r="N66" s="53"/>
      <c r="O66" s="47"/>
      <c r="P66" s="115">
        <v>0</v>
      </c>
      <c r="Q66" s="47"/>
      <c r="R66" s="115">
        <v>0</v>
      </c>
      <c r="S66" s="115">
        <v>0</v>
      </c>
      <c r="T66" s="115">
        <v>0</v>
      </c>
      <c r="U66" s="115">
        <f>84179+34753</f>
        <v>118932</v>
      </c>
      <c r="V66" s="115">
        <f>93305+17005</f>
        <v>110310</v>
      </c>
      <c r="W66" s="115">
        <v>66219</v>
      </c>
      <c r="X66" s="54">
        <v>88084</v>
      </c>
      <c r="Y66" s="54"/>
      <c r="Z66" s="53"/>
      <c r="AA66" s="53"/>
      <c r="AB66" s="53"/>
      <c r="AC66" s="53"/>
      <c r="AD66" s="47"/>
      <c r="AE66" s="53"/>
      <c r="AF66" s="53"/>
      <c r="AG66" s="47"/>
      <c r="AH66" s="53">
        <f t="shared" si="17"/>
        <v>383545</v>
      </c>
      <c r="AI66" s="51"/>
      <c r="AJ66" s="218">
        <f t="shared" si="16"/>
        <v>0</v>
      </c>
    </row>
    <row r="67" spans="1:36" s="36" customFormat="1" ht="15.75" x14ac:dyDescent="0.25">
      <c r="A67" s="104" t="s">
        <v>129</v>
      </c>
      <c r="B67" s="65" t="s">
        <v>130</v>
      </c>
      <c r="C67" s="52" t="s">
        <v>387</v>
      </c>
      <c r="D67" s="52" t="s">
        <v>402</v>
      </c>
      <c r="E67" s="52" t="s">
        <v>370</v>
      </c>
      <c r="F67" s="52">
        <v>44136</v>
      </c>
      <c r="G67" s="52">
        <v>44408</v>
      </c>
      <c r="H67" s="50">
        <f t="shared" si="15"/>
        <v>9.0365448504983377</v>
      </c>
      <c r="I67" s="182">
        <v>1809504</v>
      </c>
      <c r="J67" s="53">
        <v>272772</v>
      </c>
      <c r="K67" s="53"/>
      <c r="L67" s="53"/>
      <c r="M67" s="53"/>
      <c r="N67" s="53"/>
      <c r="O67" s="47"/>
      <c r="P67" s="115">
        <v>407476</v>
      </c>
      <c r="Q67" s="47"/>
      <c r="R67" s="115">
        <v>214131</v>
      </c>
      <c r="S67" s="115">
        <v>74131</v>
      </c>
      <c r="T67" s="115">
        <v>135778</v>
      </c>
      <c r="U67" s="115">
        <v>437832</v>
      </c>
      <c r="V67" s="115">
        <v>31174</v>
      </c>
      <c r="W67" s="115">
        <v>82243</v>
      </c>
      <c r="X67" s="54">
        <v>100000</v>
      </c>
      <c r="Y67" s="54">
        <v>100000</v>
      </c>
      <c r="Z67" s="54">
        <v>100000</v>
      </c>
      <c r="AA67" s="54">
        <v>100000</v>
      </c>
      <c r="AB67" s="54">
        <v>26739</v>
      </c>
      <c r="AC67" s="53"/>
      <c r="AD67" s="47"/>
      <c r="AE67" s="53"/>
      <c r="AF67" s="53"/>
      <c r="AG67" s="47"/>
      <c r="AH67" s="53">
        <f t="shared" si="17"/>
        <v>1809504</v>
      </c>
      <c r="AI67" s="51"/>
      <c r="AJ67" s="218">
        <f t="shared" si="16"/>
        <v>0</v>
      </c>
    </row>
    <row r="68" spans="1:36" s="36" customFormat="1" ht="15.75" x14ac:dyDescent="0.25">
      <c r="A68" s="104" t="s">
        <v>134</v>
      </c>
      <c r="B68" s="65" t="s">
        <v>135</v>
      </c>
      <c r="C68" s="52" t="s">
        <v>387</v>
      </c>
      <c r="D68" s="52" t="s">
        <v>403</v>
      </c>
      <c r="E68" s="52" t="s">
        <v>370</v>
      </c>
      <c r="F68" s="52">
        <v>44228</v>
      </c>
      <c r="G68" s="52">
        <v>44429</v>
      </c>
      <c r="H68" s="50">
        <f t="shared" si="15"/>
        <v>6.6777408637873759</v>
      </c>
      <c r="I68" s="245">
        <v>1006579</v>
      </c>
      <c r="J68" s="53"/>
      <c r="K68" s="53"/>
      <c r="L68" s="53"/>
      <c r="M68" s="53"/>
      <c r="N68" s="53"/>
      <c r="O68" s="47"/>
      <c r="P68" s="115">
        <v>131243</v>
      </c>
      <c r="Q68" s="47"/>
      <c r="R68" s="115">
        <v>0</v>
      </c>
      <c r="S68" s="115">
        <v>0</v>
      </c>
      <c r="T68" s="115">
        <v>0</v>
      </c>
      <c r="U68" s="115"/>
      <c r="V68" s="115">
        <f>36571+46439</f>
        <v>83010</v>
      </c>
      <c r="W68" s="115">
        <v>67371</v>
      </c>
      <c r="X68" s="54">
        <v>150362</v>
      </c>
      <c r="Y68" s="54">
        <v>124974</v>
      </c>
      <c r="Z68" s="54">
        <v>150000</v>
      </c>
      <c r="AA68" s="54">
        <v>150000</v>
      </c>
      <c r="AB68" s="54">
        <v>149619</v>
      </c>
      <c r="AC68" s="53"/>
      <c r="AD68" s="47"/>
      <c r="AE68" s="53"/>
      <c r="AF68" s="53"/>
      <c r="AG68" s="47"/>
      <c r="AH68" s="53">
        <f t="shared" si="17"/>
        <v>1006579</v>
      </c>
      <c r="AI68" s="51"/>
      <c r="AJ68" s="218">
        <f t="shared" si="16"/>
        <v>0</v>
      </c>
    </row>
    <row r="69" spans="1:36" s="36" customFormat="1" ht="15.75" x14ac:dyDescent="0.25">
      <c r="A69" s="104" t="s">
        <v>139</v>
      </c>
      <c r="B69" s="65" t="s">
        <v>140</v>
      </c>
      <c r="C69" s="52" t="s">
        <v>387</v>
      </c>
      <c r="D69" s="87" t="s">
        <v>45</v>
      </c>
      <c r="E69" s="52" t="s">
        <v>370</v>
      </c>
      <c r="F69" s="52">
        <v>44224</v>
      </c>
      <c r="G69" s="52">
        <v>44464</v>
      </c>
      <c r="H69" s="50">
        <f t="shared" si="15"/>
        <v>7.9734219269102988</v>
      </c>
      <c r="I69" s="182">
        <v>1639962</v>
      </c>
      <c r="J69" s="53"/>
      <c r="K69" s="53"/>
      <c r="L69" s="53"/>
      <c r="M69" s="53"/>
      <c r="N69" s="53"/>
      <c r="O69" s="47"/>
      <c r="P69" s="115">
        <v>103605</v>
      </c>
      <c r="Q69" s="47"/>
      <c r="R69" s="115">
        <v>0</v>
      </c>
      <c r="S69" s="115">
        <v>71204</v>
      </c>
      <c r="T69" s="115">
        <v>158532</v>
      </c>
      <c r="U69" s="115">
        <v>124183</v>
      </c>
      <c r="V69" s="115">
        <f>236910+83209</f>
        <v>320119</v>
      </c>
      <c r="W69" s="115">
        <v>192377</v>
      </c>
      <c r="X69" s="54">
        <f>241468+817</f>
        <v>242285</v>
      </c>
      <c r="Y69" s="54">
        <v>200000</v>
      </c>
      <c r="Z69" s="54">
        <v>165153</v>
      </c>
      <c r="AA69" s="54">
        <v>62504</v>
      </c>
      <c r="AB69" s="53"/>
      <c r="AC69" s="53"/>
      <c r="AD69" s="47"/>
      <c r="AE69" s="53"/>
      <c r="AF69" s="53"/>
      <c r="AG69" s="47"/>
      <c r="AH69" s="53">
        <f t="shared" si="17"/>
        <v>1639962</v>
      </c>
      <c r="AI69" s="51"/>
      <c r="AJ69" s="218">
        <f t="shared" si="16"/>
        <v>0</v>
      </c>
    </row>
    <row r="70" spans="1:36" s="36" customFormat="1" ht="15.75" x14ac:dyDescent="0.25">
      <c r="A70" s="223" t="s">
        <v>143</v>
      </c>
      <c r="B70" s="65" t="s">
        <v>145</v>
      </c>
      <c r="C70" s="52" t="s">
        <v>387</v>
      </c>
      <c r="D70" s="87" t="s">
        <v>389</v>
      </c>
      <c r="E70" s="52" t="s">
        <v>320</v>
      </c>
      <c r="F70" s="52">
        <v>44461</v>
      </c>
      <c r="G70" s="52">
        <v>44701</v>
      </c>
      <c r="H70" s="50">
        <f t="shared" si="15"/>
        <v>7.9734219269102988</v>
      </c>
      <c r="I70" s="53">
        <v>600000</v>
      </c>
      <c r="J70" s="53">
        <v>1339023</v>
      </c>
      <c r="K70" s="53"/>
      <c r="L70" s="53"/>
      <c r="M70" s="53"/>
      <c r="N70" s="53"/>
      <c r="O70" s="47"/>
      <c r="P70" s="115"/>
      <c r="Q70" s="47"/>
      <c r="R70" s="115">
        <v>0</v>
      </c>
      <c r="S70" s="115">
        <v>0</v>
      </c>
      <c r="T70" s="115">
        <v>0</v>
      </c>
      <c r="U70" s="115">
        <v>0</v>
      </c>
      <c r="V70" s="115">
        <v>0</v>
      </c>
      <c r="W70" s="115">
        <v>0</v>
      </c>
      <c r="X70" s="58"/>
      <c r="Y70" s="54">
        <v>150000</v>
      </c>
      <c r="Z70" s="54">
        <v>150000</v>
      </c>
      <c r="AA70" s="54">
        <v>150000</v>
      </c>
      <c r="AB70" s="54">
        <v>150000</v>
      </c>
      <c r="AC70" s="58"/>
      <c r="AD70" s="47"/>
      <c r="AE70" s="53"/>
      <c r="AF70" s="53"/>
      <c r="AG70" s="47"/>
      <c r="AH70" s="53">
        <f t="shared" si="17"/>
        <v>600000</v>
      </c>
      <c r="AI70" s="51"/>
      <c r="AJ70" s="218">
        <f t="shared" si="16"/>
        <v>0</v>
      </c>
    </row>
    <row r="71" spans="1:36" s="36" customFormat="1" ht="15.75" x14ac:dyDescent="0.25">
      <c r="A71" s="64" t="s">
        <v>150</v>
      </c>
      <c r="B71" s="65" t="s">
        <v>151</v>
      </c>
      <c r="C71" s="52" t="s">
        <v>387</v>
      </c>
      <c r="D71" s="87" t="s">
        <v>45</v>
      </c>
      <c r="E71" s="52" t="s">
        <v>320</v>
      </c>
      <c r="F71" s="52">
        <v>44461</v>
      </c>
      <c r="G71" s="52">
        <v>44701</v>
      </c>
      <c r="H71" s="50">
        <f t="shared" si="15"/>
        <v>7.9734219269102988</v>
      </c>
      <c r="I71" s="53">
        <v>1910050</v>
      </c>
      <c r="J71" s="53"/>
      <c r="K71" s="53"/>
      <c r="L71" s="53"/>
      <c r="M71" s="53"/>
      <c r="N71" s="53"/>
      <c r="O71" s="47"/>
      <c r="P71" s="115">
        <v>0</v>
      </c>
      <c r="Q71" s="47"/>
      <c r="R71" s="115">
        <v>0</v>
      </c>
      <c r="S71" s="115">
        <v>0</v>
      </c>
      <c r="T71" s="115">
        <v>0</v>
      </c>
      <c r="U71" s="115">
        <v>0</v>
      </c>
      <c r="V71" s="115">
        <v>0</v>
      </c>
      <c r="W71" s="115">
        <f>119451</f>
        <v>119451</v>
      </c>
      <c r="X71" s="54">
        <v>0</v>
      </c>
      <c r="Y71" s="54">
        <v>175000</v>
      </c>
      <c r="Z71" s="54">
        <v>200000</v>
      </c>
      <c r="AA71" s="54">
        <v>200000</v>
      </c>
      <c r="AB71" s="54">
        <v>200000</v>
      </c>
      <c r="AC71" s="54">
        <v>200000</v>
      </c>
      <c r="AD71" s="47"/>
      <c r="AE71" s="54">
        <v>815599</v>
      </c>
      <c r="AF71" s="53"/>
      <c r="AG71" s="47"/>
      <c r="AH71" s="53">
        <f t="shared" si="17"/>
        <v>1910050</v>
      </c>
      <c r="AI71" s="51"/>
      <c r="AJ71" s="218">
        <f t="shared" si="16"/>
        <v>0</v>
      </c>
    </row>
    <row r="72" spans="1:36" s="36" customFormat="1" ht="15.75" x14ac:dyDescent="0.25">
      <c r="A72" s="64" t="s">
        <v>153</v>
      </c>
      <c r="B72" s="65" t="s">
        <v>424</v>
      </c>
      <c r="C72" s="52" t="s">
        <v>387</v>
      </c>
      <c r="D72" s="87" t="s">
        <v>45</v>
      </c>
      <c r="E72" s="52" t="s">
        <v>320</v>
      </c>
      <c r="F72" s="52">
        <v>44461</v>
      </c>
      <c r="G72" s="52">
        <v>44701</v>
      </c>
      <c r="H72" s="50">
        <f t="shared" si="15"/>
        <v>7.9734219269102988</v>
      </c>
      <c r="I72" s="53">
        <v>288979</v>
      </c>
      <c r="J72" s="53"/>
      <c r="K72" s="53"/>
      <c r="L72" s="53"/>
      <c r="M72" s="53"/>
      <c r="N72" s="53"/>
      <c r="O72" s="47"/>
      <c r="P72" s="115">
        <v>0</v>
      </c>
      <c r="Q72" s="47"/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f>7826</f>
        <v>7826</v>
      </c>
      <c r="X72" s="54">
        <v>0</v>
      </c>
      <c r="Y72" s="54">
        <v>50000</v>
      </c>
      <c r="Z72" s="54">
        <v>50000</v>
      </c>
      <c r="AA72" s="54">
        <v>50000</v>
      </c>
      <c r="AB72" s="54">
        <v>50000</v>
      </c>
      <c r="AC72" s="54">
        <v>50000</v>
      </c>
      <c r="AD72" s="47">
        <v>0</v>
      </c>
      <c r="AE72" s="54">
        <v>31153</v>
      </c>
      <c r="AF72" s="53"/>
      <c r="AG72" s="47"/>
      <c r="AH72" s="53">
        <f t="shared" si="17"/>
        <v>288979</v>
      </c>
      <c r="AI72" s="51"/>
      <c r="AJ72" s="218">
        <f t="shared" si="16"/>
        <v>0</v>
      </c>
    </row>
    <row r="73" spans="1:36" s="36" customFormat="1" ht="15.75" x14ac:dyDescent="0.25">
      <c r="A73" s="64" t="s">
        <v>425</v>
      </c>
      <c r="B73" s="65" t="s">
        <v>426</v>
      </c>
      <c r="C73" s="52" t="s">
        <v>387</v>
      </c>
      <c r="D73" s="87" t="s">
        <v>45</v>
      </c>
      <c r="E73" s="52" t="s">
        <v>320</v>
      </c>
      <c r="F73" s="52">
        <v>44461</v>
      </c>
      <c r="G73" s="52">
        <v>44701</v>
      </c>
      <c r="H73" s="50">
        <f t="shared" si="15"/>
        <v>7.9734219269102988</v>
      </c>
      <c r="I73" s="53">
        <v>366822</v>
      </c>
      <c r="J73" s="53"/>
      <c r="K73" s="53"/>
      <c r="L73" s="53"/>
      <c r="M73" s="53"/>
      <c r="N73" s="53"/>
      <c r="O73" s="47"/>
      <c r="P73" s="115">
        <v>0</v>
      </c>
      <c r="Q73" s="47"/>
      <c r="R73" s="115">
        <v>0</v>
      </c>
      <c r="S73" s="115">
        <v>0</v>
      </c>
      <c r="T73" s="115">
        <v>0</v>
      </c>
      <c r="U73" s="115">
        <v>0</v>
      </c>
      <c r="V73" s="115">
        <v>0</v>
      </c>
      <c r="W73" s="115">
        <f>7716</f>
        <v>7716</v>
      </c>
      <c r="X73" s="54">
        <v>0</v>
      </c>
      <c r="Y73" s="54">
        <v>50000</v>
      </c>
      <c r="Z73" s="54">
        <v>75000</v>
      </c>
      <c r="AA73" s="54">
        <v>75000</v>
      </c>
      <c r="AB73" s="54">
        <v>75000</v>
      </c>
      <c r="AC73" s="54">
        <v>75000</v>
      </c>
      <c r="AD73" s="47"/>
      <c r="AE73" s="54">
        <v>9106</v>
      </c>
      <c r="AF73" s="53"/>
      <c r="AG73" s="47"/>
      <c r="AH73" s="53">
        <f t="shared" si="17"/>
        <v>366822</v>
      </c>
      <c r="AI73" s="51"/>
      <c r="AJ73" s="218">
        <f t="shared" si="16"/>
        <v>0</v>
      </c>
    </row>
    <row r="74" spans="1:36" s="36" customFormat="1" ht="15.75" x14ac:dyDescent="0.25">
      <c r="A74" s="223" t="s">
        <v>156</v>
      </c>
      <c r="B74" s="65" t="s">
        <v>427</v>
      </c>
      <c r="C74" s="52" t="s">
        <v>387</v>
      </c>
      <c r="D74" s="87" t="s">
        <v>45</v>
      </c>
      <c r="E74" s="52" t="s">
        <v>320</v>
      </c>
      <c r="F74" s="52">
        <v>44461</v>
      </c>
      <c r="G74" s="52">
        <v>44762</v>
      </c>
      <c r="H74" s="50">
        <f t="shared" si="15"/>
        <v>10</v>
      </c>
      <c r="I74" s="53">
        <v>1700000</v>
      </c>
      <c r="J74" s="53"/>
      <c r="K74" s="53"/>
      <c r="L74" s="53"/>
      <c r="M74" s="53"/>
      <c r="N74" s="53"/>
      <c r="O74" s="47"/>
      <c r="P74" s="115"/>
      <c r="Q74" s="47"/>
      <c r="R74" s="115">
        <v>0</v>
      </c>
      <c r="S74" s="115">
        <v>0</v>
      </c>
      <c r="T74" s="115">
        <v>0</v>
      </c>
      <c r="U74" s="115">
        <v>0</v>
      </c>
      <c r="V74" s="115">
        <v>0</v>
      </c>
      <c r="W74" s="115">
        <v>0</v>
      </c>
      <c r="X74" s="89"/>
      <c r="Y74" s="54">
        <v>75000</v>
      </c>
      <c r="Z74" s="54">
        <v>125000</v>
      </c>
      <c r="AA74" s="54">
        <v>200000</v>
      </c>
      <c r="AB74" s="54">
        <v>200000</v>
      </c>
      <c r="AC74" s="54">
        <v>200000</v>
      </c>
      <c r="AD74" s="47"/>
      <c r="AE74" s="54">
        <v>900000</v>
      </c>
      <c r="AF74" s="53"/>
      <c r="AG74" s="47"/>
      <c r="AH74" s="53">
        <f t="shared" si="17"/>
        <v>1700000</v>
      </c>
      <c r="AI74" s="51"/>
      <c r="AJ74" s="218">
        <f t="shared" si="16"/>
        <v>0</v>
      </c>
    </row>
    <row r="75" spans="1:36" s="36" customFormat="1" ht="15.75" x14ac:dyDescent="0.25">
      <c r="A75" s="223" t="s">
        <v>159</v>
      </c>
      <c r="B75" s="65" t="s">
        <v>428</v>
      </c>
      <c r="C75" s="52" t="s">
        <v>387</v>
      </c>
      <c r="D75" s="87" t="s">
        <v>45</v>
      </c>
      <c r="E75" s="52" t="s">
        <v>320</v>
      </c>
      <c r="F75" s="52">
        <v>44461</v>
      </c>
      <c r="G75" s="52">
        <v>44701</v>
      </c>
      <c r="H75" s="50">
        <f t="shared" si="15"/>
        <v>7.9734219269102988</v>
      </c>
      <c r="I75" s="53">
        <v>225000</v>
      </c>
      <c r="J75" s="53"/>
      <c r="K75" s="53"/>
      <c r="L75" s="53"/>
      <c r="M75" s="53"/>
      <c r="N75" s="53"/>
      <c r="O75" s="47"/>
      <c r="P75" s="115"/>
      <c r="Q75" s="47"/>
      <c r="R75" s="115">
        <v>0</v>
      </c>
      <c r="S75" s="115">
        <v>0</v>
      </c>
      <c r="T75" s="115">
        <v>0</v>
      </c>
      <c r="U75" s="115">
        <v>0</v>
      </c>
      <c r="V75" s="115">
        <v>0</v>
      </c>
      <c r="W75" s="115">
        <v>0</v>
      </c>
      <c r="X75" s="89"/>
      <c r="Y75" s="58"/>
      <c r="Z75" s="54">
        <v>50000</v>
      </c>
      <c r="AA75" s="54">
        <v>50000</v>
      </c>
      <c r="AB75" s="54">
        <v>50000</v>
      </c>
      <c r="AC75" s="54">
        <v>50000</v>
      </c>
      <c r="AD75" s="47"/>
      <c r="AE75" s="54">
        <v>25000</v>
      </c>
      <c r="AF75" s="53"/>
      <c r="AG75" s="47"/>
      <c r="AH75" s="53">
        <f t="shared" si="17"/>
        <v>225000</v>
      </c>
      <c r="AI75" s="51"/>
      <c r="AJ75" s="218">
        <f t="shared" si="16"/>
        <v>0</v>
      </c>
    </row>
    <row r="76" spans="1:36" s="36" customFormat="1" ht="15.75" x14ac:dyDescent="0.25">
      <c r="A76" s="223" t="s">
        <v>147</v>
      </c>
      <c r="B76" s="65" t="s">
        <v>423</v>
      </c>
      <c r="C76" s="52" t="s">
        <v>387</v>
      </c>
      <c r="D76" s="87" t="s">
        <v>45</v>
      </c>
      <c r="E76" s="52" t="s">
        <v>320</v>
      </c>
      <c r="F76" s="52">
        <v>44461</v>
      </c>
      <c r="G76" s="52">
        <v>44701</v>
      </c>
      <c r="H76" s="50">
        <f>((G76-F76)/7)/4.3</f>
        <v>7.9734219269102988</v>
      </c>
      <c r="I76" s="53">
        <v>750000</v>
      </c>
      <c r="J76" s="53"/>
      <c r="K76" s="53"/>
      <c r="L76" s="53"/>
      <c r="M76" s="53"/>
      <c r="N76" s="53"/>
      <c r="O76" s="47"/>
      <c r="P76" s="115"/>
      <c r="Q76" s="47"/>
      <c r="R76" s="115">
        <v>0</v>
      </c>
      <c r="S76" s="115">
        <v>0</v>
      </c>
      <c r="T76" s="115">
        <v>0</v>
      </c>
      <c r="U76" s="115">
        <v>0</v>
      </c>
      <c r="V76" s="115">
        <v>0</v>
      </c>
      <c r="W76" s="115">
        <v>0</v>
      </c>
      <c r="X76" s="89"/>
      <c r="Y76" s="54">
        <v>150000</v>
      </c>
      <c r="Z76" s="54">
        <v>150000</v>
      </c>
      <c r="AA76" s="54">
        <v>150000</v>
      </c>
      <c r="AB76" s="54">
        <v>150000</v>
      </c>
      <c r="AC76" s="54">
        <v>150000</v>
      </c>
      <c r="AD76" s="47"/>
      <c r="AE76" s="54"/>
      <c r="AF76" s="53"/>
      <c r="AG76" s="47"/>
      <c r="AH76" s="53">
        <f>SUM(P76:AG76)</f>
        <v>750000</v>
      </c>
      <c r="AI76" s="51"/>
      <c r="AJ76" s="218">
        <f>I76-AH76</f>
        <v>0</v>
      </c>
    </row>
    <row r="77" spans="1:36" s="36" customFormat="1" ht="15.75" x14ac:dyDescent="0.25">
      <c r="A77" s="34" t="s">
        <v>226</v>
      </c>
      <c r="B77" s="35" t="s">
        <v>442</v>
      </c>
      <c r="C77" s="52" t="s">
        <v>45</v>
      </c>
      <c r="D77" s="52" t="s">
        <v>45</v>
      </c>
      <c r="E77" s="52" t="s">
        <v>320</v>
      </c>
      <c r="F77" s="52">
        <v>44436</v>
      </c>
      <c r="G77" s="52">
        <v>44616</v>
      </c>
      <c r="H77" s="50"/>
      <c r="I77" s="53">
        <v>2259828</v>
      </c>
      <c r="J77" s="53"/>
      <c r="K77" s="53"/>
      <c r="L77" s="53"/>
      <c r="M77" s="53"/>
      <c r="N77" s="53"/>
      <c r="O77" s="47"/>
      <c r="P77" s="115">
        <v>0</v>
      </c>
      <c r="Q77" s="47"/>
      <c r="R77" s="115">
        <v>0</v>
      </c>
      <c r="S77" s="115">
        <v>0</v>
      </c>
      <c r="T77" s="115">
        <v>0</v>
      </c>
      <c r="U77" s="115">
        <v>0</v>
      </c>
      <c r="V77" s="115">
        <v>105517</v>
      </c>
      <c r="W77" s="115">
        <v>201248</v>
      </c>
      <c r="X77" s="58"/>
      <c r="Y77" s="58"/>
      <c r="Z77" s="58"/>
      <c r="AA77" s="58"/>
      <c r="AB77" s="58"/>
      <c r="AC77" s="58"/>
      <c r="AD77" s="47"/>
      <c r="AE77" s="54">
        <v>1953063</v>
      </c>
      <c r="AF77" s="53"/>
      <c r="AG77" s="47"/>
      <c r="AH77" s="53">
        <f>SUM(P77:AG77)</f>
        <v>2259828</v>
      </c>
      <c r="AI77" s="51"/>
      <c r="AJ77" s="218">
        <f>I77-AH77</f>
        <v>0</v>
      </c>
    </row>
    <row r="78" spans="1:36" s="36" customFormat="1" ht="15.75" x14ac:dyDescent="0.25">
      <c r="A78" s="97"/>
      <c r="B78" s="98"/>
      <c r="C78" s="91"/>
      <c r="D78" s="91"/>
      <c r="E78" s="91"/>
      <c r="F78" s="91"/>
      <c r="G78" s="91"/>
      <c r="H78" s="92"/>
      <c r="I78" s="59">
        <f>SUM(I62:I77)</f>
        <v>15083240</v>
      </c>
      <c r="J78" s="59"/>
      <c r="K78" s="59"/>
      <c r="L78" s="59"/>
      <c r="M78" s="59"/>
      <c r="N78" s="59"/>
      <c r="O78" s="47"/>
      <c r="P78" s="59">
        <f>SUM(P62:P77)</f>
        <v>2120539</v>
      </c>
      <c r="Q78" s="47"/>
      <c r="R78" s="59">
        <f>SUM(R62:R77)</f>
        <v>434148</v>
      </c>
      <c r="S78" s="59">
        <f t="shared" ref="S78:AC78" si="18">SUM(S62:S77)</f>
        <v>225080</v>
      </c>
      <c r="T78" s="59">
        <f t="shared" si="18"/>
        <v>600062</v>
      </c>
      <c r="U78" s="59">
        <f t="shared" si="18"/>
        <v>685510</v>
      </c>
      <c r="V78" s="59">
        <f t="shared" si="18"/>
        <v>650130</v>
      </c>
      <c r="W78" s="59">
        <f t="shared" si="18"/>
        <v>744986</v>
      </c>
      <c r="X78" s="59">
        <f t="shared" si="18"/>
        <v>634875</v>
      </c>
      <c r="Y78" s="59">
        <f t="shared" si="18"/>
        <v>1074974</v>
      </c>
      <c r="Z78" s="59">
        <f t="shared" si="18"/>
        <v>1215153</v>
      </c>
      <c r="AA78" s="59">
        <f t="shared" si="18"/>
        <v>1187504</v>
      </c>
      <c r="AB78" s="59">
        <f t="shared" si="18"/>
        <v>1051358</v>
      </c>
      <c r="AC78" s="59">
        <f t="shared" si="18"/>
        <v>725000</v>
      </c>
      <c r="AD78" s="47"/>
      <c r="AE78" s="59">
        <f>SUM(AE62:AE77)</f>
        <v>3733921</v>
      </c>
      <c r="AF78" s="59">
        <f>SUM(AF62:AF77)</f>
        <v>0</v>
      </c>
      <c r="AG78" s="47"/>
      <c r="AH78" s="53">
        <f t="shared" si="17"/>
        <v>15083240</v>
      </c>
      <c r="AI78" s="51"/>
      <c r="AJ78" s="218">
        <f>I78-AH78</f>
        <v>0</v>
      </c>
    </row>
    <row r="79" spans="1:36" s="36" customFormat="1" ht="15.75" x14ac:dyDescent="0.25">
      <c r="A79" s="106" t="s">
        <v>73</v>
      </c>
      <c r="B79" s="107"/>
      <c r="C79" s="101" t="s">
        <v>45</v>
      </c>
      <c r="D79" s="102"/>
      <c r="E79" s="102"/>
      <c r="F79" s="102"/>
      <c r="G79" s="102"/>
      <c r="H79" s="84"/>
      <c r="I79" s="193"/>
      <c r="J79" s="103"/>
      <c r="K79" s="103"/>
      <c r="L79" s="103"/>
      <c r="M79" s="103"/>
      <c r="N79" s="103"/>
      <c r="O79" s="47"/>
      <c r="P79" s="85"/>
      <c r="Q79" s="47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47"/>
      <c r="AE79" s="103"/>
      <c r="AF79" s="103"/>
      <c r="AG79" s="47"/>
      <c r="AH79" s="85"/>
      <c r="AI79" s="51"/>
      <c r="AJ79" s="218"/>
    </row>
    <row r="80" spans="1:36" s="36" customFormat="1" ht="15.75" x14ac:dyDescent="0.25">
      <c r="A80" s="60" t="s">
        <v>430</v>
      </c>
      <c r="B80" s="61" t="s">
        <v>431</v>
      </c>
      <c r="C80" s="52" t="s">
        <v>45</v>
      </c>
      <c r="D80" s="52" t="s">
        <v>45</v>
      </c>
      <c r="E80" s="52" t="s">
        <v>320</v>
      </c>
      <c r="F80" s="52"/>
      <c r="G80" s="52"/>
      <c r="H80" s="50"/>
      <c r="I80" s="53">
        <f>61092+73311</f>
        <v>134403</v>
      </c>
      <c r="J80" s="53"/>
      <c r="K80" s="53"/>
      <c r="L80" s="53"/>
      <c r="M80" s="53"/>
      <c r="N80" s="53"/>
      <c r="O80" s="47"/>
      <c r="P80" s="115">
        <v>61092</v>
      </c>
      <c r="Q80" s="47"/>
      <c r="R80" s="115">
        <v>0</v>
      </c>
      <c r="S80" s="115">
        <v>0</v>
      </c>
      <c r="T80" s="115">
        <v>0</v>
      </c>
      <c r="U80" s="115">
        <v>73311</v>
      </c>
      <c r="V80" s="115">
        <v>0</v>
      </c>
      <c r="W80" s="115">
        <v>0</v>
      </c>
      <c r="X80" s="58"/>
      <c r="Y80" s="58"/>
      <c r="Z80" s="58"/>
      <c r="AA80" s="58"/>
      <c r="AB80" s="58"/>
      <c r="AC80" s="58"/>
      <c r="AD80" s="47"/>
      <c r="AE80" s="58"/>
      <c r="AF80" s="53"/>
      <c r="AG80" s="47"/>
      <c r="AH80" s="53">
        <f t="shared" si="17"/>
        <v>134403</v>
      </c>
      <c r="AI80" s="51"/>
      <c r="AJ80" s="218">
        <f>I80-AH80</f>
        <v>0</v>
      </c>
    </row>
    <row r="81" spans="1:36" s="36" customFormat="1" ht="15.75" x14ac:dyDescent="0.25">
      <c r="A81" s="60" t="s">
        <v>432</v>
      </c>
      <c r="B81" s="61" t="s">
        <v>433</v>
      </c>
      <c r="C81" s="52" t="s">
        <v>45</v>
      </c>
      <c r="D81" s="52" t="s">
        <v>45</v>
      </c>
      <c r="E81" s="52" t="s">
        <v>320</v>
      </c>
      <c r="F81" s="52"/>
      <c r="G81" s="52"/>
      <c r="H81" s="50"/>
      <c r="I81" s="53">
        <f>61092+73311</f>
        <v>134403</v>
      </c>
      <c r="J81" s="53"/>
      <c r="K81" s="53"/>
      <c r="L81" s="53"/>
      <c r="M81" s="53"/>
      <c r="N81" s="53"/>
      <c r="O81" s="47"/>
      <c r="P81" s="115">
        <v>61092</v>
      </c>
      <c r="Q81" s="47"/>
      <c r="R81" s="115">
        <v>0</v>
      </c>
      <c r="S81" s="115">
        <v>0</v>
      </c>
      <c r="T81" s="115">
        <v>0</v>
      </c>
      <c r="U81" s="115">
        <v>73311</v>
      </c>
      <c r="V81" s="115">
        <v>0</v>
      </c>
      <c r="W81" s="115">
        <v>0</v>
      </c>
      <c r="X81" s="58"/>
      <c r="Y81" s="58"/>
      <c r="Z81" s="58"/>
      <c r="AA81" s="58"/>
      <c r="AB81" s="58"/>
      <c r="AC81" s="58"/>
      <c r="AD81" s="47"/>
      <c r="AE81" s="58"/>
      <c r="AF81" s="53"/>
      <c r="AG81" s="47"/>
      <c r="AH81" s="53">
        <f t="shared" si="17"/>
        <v>134403</v>
      </c>
      <c r="AI81" s="51"/>
      <c r="AJ81" s="218">
        <f t="shared" ref="AJ81:AJ112" si="19">I81-AH81</f>
        <v>0</v>
      </c>
    </row>
    <row r="82" spans="1:36" s="36" customFormat="1" ht="15.75" x14ac:dyDescent="0.25">
      <c r="A82" s="60" t="s">
        <v>161</v>
      </c>
      <c r="B82" s="61" t="s">
        <v>163</v>
      </c>
      <c r="C82" s="52" t="s">
        <v>45</v>
      </c>
      <c r="D82" s="52" t="s">
        <v>45</v>
      </c>
      <c r="E82" s="52" t="s">
        <v>320</v>
      </c>
      <c r="F82" s="52" t="s">
        <v>165</v>
      </c>
      <c r="G82" s="52" t="s">
        <v>165</v>
      </c>
      <c r="H82" s="50" t="s">
        <v>165</v>
      </c>
      <c r="I82" s="86" t="s">
        <v>165</v>
      </c>
      <c r="J82" s="53"/>
      <c r="K82" s="53"/>
      <c r="L82" s="53"/>
      <c r="M82" s="53"/>
      <c r="N82" s="53"/>
      <c r="O82" s="47"/>
      <c r="P82" s="115"/>
      <c r="Q82" s="47"/>
      <c r="R82" s="115">
        <v>0</v>
      </c>
      <c r="S82" s="115">
        <v>0</v>
      </c>
      <c r="T82" s="115">
        <v>0</v>
      </c>
      <c r="U82" s="115">
        <v>0</v>
      </c>
      <c r="V82" s="115">
        <v>0</v>
      </c>
      <c r="W82" s="115">
        <v>0</v>
      </c>
      <c r="X82" s="58"/>
      <c r="Y82" s="58"/>
      <c r="Z82" s="58"/>
      <c r="AA82" s="58"/>
      <c r="AB82" s="58"/>
      <c r="AC82" s="58"/>
      <c r="AD82" s="47"/>
      <c r="AE82" s="58"/>
      <c r="AF82" s="53"/>
      <c r="AG82" s="47"/>
      <c r="AH82" s="53">
        <f t="shared" si="17"/>
        <v>0</v>
      </c>
      <c r="AI82" s="51"/>
      <c r="AJ82" s="246" t="s">
        <v>165</v>
      </c>
    </row>
    <row r="83" spans="1:36" s="36" customFormat="1" ht="15.75" x14ac:dyDescent="0.25">
      <c r="A83" s="34" t="s">
        <v>180</v>
      </c>
      <c r="B83" s="34" t="s">
        <v>182</v>
      </c>
      <c r="C83" s="52" t="s">
        <v>45</v>
      </c>
      <c r="D83" s="52" t="s">
        <v>45</v>
      </c>
      <c r="E83" s="52" t="s">
        <v>320</v>
      </c>
      <c r="F83" s="52">
        <v>44371</v>
      </c>
      <c r="G83" s="52">
        <v>44431</v>
      </c>
      <c r="H83" s="50">
        <f>((G83-F83)/7)/4.3</f>
        <v>1.9933554817275747</v>
      </c>
      <c r="I83" s="53">
        <v>0</v>
      </c>
      <c r="J83" s="53"/>
      <c r="K83" s="53"/>
      <c r="L83" s="53"/>
      <c r="M83" s="53"/>
      <c r="N83" s="53"/>
      <c r="O83" s="47"/>
      <c r="P83" s="115"/>
      <c r="Q83" s="47"/>
      <c r="R83" s="115">
        <v>0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58"/>
      <c r="Y83" s="58"/>
      <c r="Z83" s="53"/>
      <c r="AA83" s="53"/>
      <c r="AB83" s="53"/>
      <c r="AC83" s="53"/>
      <c r="AD83" s="47"/>
      <c r="AE83" s="53"/>
      <c r="AF83" s="53"/>
      <c r="AG83" s="47"/>
      <c r="AH83" s="53">
        <f t="shared" si="17"/>
        <v>0</v>
      </c>
      <c r="AI83" s="51"/>
      <c r="AJ83" s="218">
        <f t="shared" si="19"/>
        <v>0</v>
      </c>
    </row>
    <row r="84" spans="1:36" s="36" customFormat="1" ht="15.75" x14ac:dyDescent="0.25">
      <c r="A84" s="56" t="s">
        <v>434</v>
      </c>
      <c r="B84" s="56" t="s">
        <v>435</v>
      </c>
      <c r="C84" s="52" t="s">
        <v>45</v>
      </c>
      <c r="D84" s="52" t="s">
        <v>45</v>
      </c>
      <c r="E84" s="52" t="s">
        <v>320</v>
      </c>
      <c r="F84" s="52" t="s">
        <v>319</v>
      </c>
      <c r="G84" s="52" t="s">
        <v>319</v>
      </c>
      <c r="H84" s="50"/>
      <c r="I84" s="189">
        <v>461956</v>
      </c>
      <c r="J84" s="53"/>
      <c r="K84" s="53"/>
      <c r="L84" s="53"/>
      <c r="M84" s="53"/>
      <c r="N84" s="53"/>
      <c r="O84" s="47"/>
      <c r="P84" s="115"/>
      <c r="Q84" s="47"/>
      <c r="R84" s="115">
        <v>353138</v>
      </c>
      <c r="S84" s="115">
        <v>108818</v>
      </c>
      <c r="T84" s="115"/>
      <c r="U84" s="115">
        <v>0</v>
      </c>
      <c r="V84" s="115">
        <v>0</v>
      </c>
      <c r="W84" s="115">
        <v>0</v>
      </c>
      <c r="X84" s="53"/>
      <c r="Y84" s="53"/>
      <c r="Z84" s="53"/>
      <c r="AA84" s="53"/>
      <c r="AB84" s="53"/>
      <c r="AC84" s="53"/>
      <c r="AD84" s="47"/>
      <c r="AE84" s="53"/>
      <c r="AF84" s="53"/>
      <c r="AG84" s="47"/>
      <c r="AH84" s="53">
        <f>SUM(P84:AG84)</f>
        <v>461956</v>
      </c>
      <c r="AI84" s="51"/>
      <c r="AJ84" s="218">
        <f>I84-AH84</f>
        <v>0</v>
      </c>
    </row>
    <row r="85" spans="1:36" s="36" customFormat="1" ht="15.75" x14ac:dyDescent="0.25">
      <c r="A85" s="34" t="s">
        <v>187</v>
      </c>
      <c r="B85" s="35" t="s">
        <v>188</v>
      </c>
      <c r="C85" s="52" t="s">
        <v>45</v>
      </c>
      <c r="D85" s="52" t="s">
        <v>45</v>
      </c>
      <c r="E85" s="52" t="s">
        <v>320</v>
      </c>
      <c r="F85" s="52">
        <v>44409</v>
      </c>
      <c r="G85" s="52">
        <v>44649</v>
      </c>
      <c r="H85" s="50">
        <f>((G85-F85)/7)/4.3</f>
        <v>7.9734219269102988</v>
      </c>
      <c r="I85" s="53">
        <v>1500000</v>
      </c>
      <c r="J85" s="53"/>
      <c r="K85" s="53"/>
      <c r="L85" s="53"/>
      <c r="M85" s="53"/>
      <c r="N85" s="53"/>
      <c r="O85" s="47"/>
      <c r="P85" s="115"/>
      <c r="Q85" s="47"/>
      <c r="R85" s="115">
        <v>0</v>
      </c>
      <c r="S85" s="115">
        <v>0</v>
      </c>
      <c r="T85" s="115">
        <v>0</v>
      </c>
      <c r="U85" s="115">
        <v>0</v>
      </c>
      <c r="V85" s="115">
        <v>41062</v>
      </c>
      <c r="W85" s="115">
        <v>0</v>
      </c>
      <c r="X85" s="58"/>
      <c r="Y85" s="54">
        <v>125000</v>
      </c>
      <c r="Z85" s="54">
        <v>175000</v>
      </c>
      <c r="AA85" s="54">
        <v>200000</v>
      </c>
      <c r="AB85" s="54">
        <v>200000</v>
      </c>
      <c r="AC85" s="54">
        <v>200000</v>
      </c>
      <c r="AD85" s="47"/>
      <c r="AE85" s="54">
        <v>558938</v>
      </c>
      <c r="AF85" s="53"/>
      <c r="AG85" s="47"/>
      <c r="AH85" s="53">
        <f t="shared" si="17"/>
        <v>1500000</v>
      </c>
      <c r="AI85" s="51"/>
      <c r="AJ85" s="218">
        <f t="shared" si="19"/>
        <v>0</v>
      </c>
    </row>
    <row r="86" spans="1:36" s="36" customFormat="1" ht="15.75" x14ac:dyDescent="0.25">
      <c r="A86" s="34" t="s">
        <v>191</v>
      </c>
      <c r="B86" s="35" t="s">
        <v>192</v>
      </c>
      <c r="C86" s="52" t="s">
        <v>45</v>
      </c>
      <c r="D86" s="52" t="s">
        <v>45</v>
      </c>
      <c r="E86" s="52" t="s">
        <v>320</v>
      </c>
      <c r="F86" s="52">
        <v>44470</v>
      </c>
      <c r="G86" s="52">
        <v>44831</v>
      </c>
      <c r="H86" s="50">
        <f>((G86-F86)/7)/4.3</f>
        <v>11.993355481727574</v>
      </c>
      <c r="I86" s="53">
        <v>4000000</v>
      </c>
      <c r="J86" s="53"/>
      <c r="K86" s="53"/>
      <c r="L86" s="53"/>
      <c r="M86" s="53"/>
      <c r="N86" s="53"/>
      <c r="O86" s="47"/>
      <c r="P86" s="115"/>
      <c r="Q86" s="47"/>
      <c r="R86" s="115">
        <v>0</v>
      </c>
      <c r="S86" s="115">
        <v>0</v>
      </c>
      <c r="T86" s="115">
        <v>0</v>
      </c>
      <c r="U86" s="115">
        <v>0</v>
      </c>
      <c r="V86" s="115">
        <v>0</v>
      </c>
      <c r="W86" s="115">
        <v>0</v>
      </c>
      <c r="X86" s="58"/>
      <c r="Y86" s="58"/>
      <c r="Z86" s="58"/>
      <c r="AA86" s="54">
        <v>800000</v>
      </c>
      <c r="AB86" s="54">
        <v>800000</v>
      </c>
      <c r="AC86" s="54">
        <v>800000</v>
      </c>
      <c r="AD86" s="47"/>
      <c r="AE86" s="54">
        <v>1600000</v>
      </c>
      <c r="AF86" s="53"/>
      <c r="AG86" s="47"/>
      <c r="AH86" s="53">
        <f t="shared" si="17"/>
        <v>4000000</v>
      </c>
      <c r="AI86" s="51"/>
      <c r="AJ86" s="218">
        <f t="shared" si="19"/>
        <v>0</v>
      </c>
    </row>
    <row r="87" spans="1:36" s="36" customFormat="1" ht="15.75" x14ac:dyDescent="0.25">
      <c r="A87" s="34" t="s">
        <v>194</v>
      </c>
      <c r="B87" s="35" t="s">
        <v>397</v>
      </c>
      <c r="C87" s="52" t="s">
        <v>45</v>
      </c>
      <c r="D87" s="52" t="s">
        <v>45</v>
      </c>
      <c r="E87" s="52" t="s">
        <v>320</v>
      </c>
      <c r="F87" s="52">
        <v>44403</v>
      </c>
      <c r="G87" s="52">
        <v>44704</v>
      </c>
      <c r="H87" s="50">
        <f>((G87-F87)/7)/4.3</f>
        <v>10</v>
      </c>
      <c r="I87" s="53">
        <v>3000000</v>
      </c>
      <c r="J87" s="53"/>
      <c r="K87" s="53"/>
      <c r="L87" s="53"/>
      <c r="M87" s="53"/>
      <c r="N87" s="53"/>
      <c r="O87" s="47"/>
      <c r="P87" s="115"/>
      <c r="Q87" s="47"/>
      <c r="R87" s="115">
        <v>0</v>
      </c>
      <c r="S87" s="115">
        <v>0</v>
      </c>
      <c r="T87" s="115">
        <v>0</v>
      </c>
      <c r="U87" s="115">
        <v>0</v>
      </c>
      <c r="V87" s="115">
        <v>0</v>
      </c>
      <c r="W87" s="115">
        <v>0</v>
      </c>
      <c r="X87" s="53"/>
      <c r="Y87" s="53"/>
      <c r="Z87" s="53"/>
      <c r="AA87" s="53"/>
      <c r="AB87" s="53"/>
      <c r="AC87" s="53"/>
      <c r="AD87" s="47"/>
      <c r="AE87" s="54">
        <v>3000000</v>
      </c>
      <c r="AF87" s="53"/>
      <c r="AG87" s="47"/>
      <c r="AH87" s="53">
        <f t="shared" si="17"/>
        <v>3000000</v>
      </c>
      <c r="AI87" s="51"/>
      <c r="AJ87" s="218">
        <f t="shared" si="19"/>
        <v>0</v>
      </c>
    </row>
    <row r="88" spans="1:36" s="36" customFormat="1" ht="15.75" x14ac:dyDescent="0.25">
      <c r="A88" s="113" t="s">
        <v>197</v>
      </c>
      <c r="B88" s="114" t="s">
        <v>198</v>
      </c>
      <c r="C88" s="52" t="s">
        <v>45</v>
      </c>
      <c r="D88" s="52" t="s">
        <v>45</v>
      </c>
      <c r="E88" s="52" t="s">
        <v>320</v>
      </c>
      <c r="F88" s="52"/>
      <c r="G88" s="52"/>
      <c r="H88" s="50"/>
      <c r="I88" s="182">
        <v>500577</v>
      </c>
      <c r="J88" s="53"/>
      <c r="K88" s="53"/>
      <c r="L88" s="53"/>
      <c r="M88" s="53"/>
      <c r="N88" s="53"/>
      <c r="O88" s="47"/>
      <c r="P88" s="115"/>
      <c r="Q88" s="47"/>
      <c r="R88" s="115">
        <v>0</v>
      </c>
      <c r="S88" s="115">
        <v>17615</v>
      </c>
      <c r="T88" s="115">
        <v>71648</v>
      </c>
      <c r="U88" s="115">
        <v>0</v>
      </c>
      <c r="V88" s="115">
        <v>97695</v>
      </c>
      <c r="W88" s="115">
        <v>103125</v>
      </c>
      <c r="X88" s="53"/>
      <c r="Y88" s="53"/>
      <c r="Z88" s="53"/>
      <c r="AA88" s="53"/>
      <c r="AB88" s="53"/>
      <c r="AC88" s="53"/>
      <c r="AD88" s="47"/>
      <c r="AE88" s="54">
        <v>210494</v>
      </c>
      <c r="AF88" s="53"/>
      <c r="AG88" s="47"/>
      <c r="AH88" s="53">
        <f t="shared" si="17"/>
        <v>500577</v>
      </c>
      <c r="AI88" s="51"/>
      <c r="AJ88" s="218">
        <f t="shared" si="19"/>
        <v>0</v>
      </c>
    </row>
    <row r="89" spans="1:36" s="36" customFormat="1" ht="15.75" x14ac:dyDescent="0.25">
      <c r="A89" s="34" t="s">
        <v>203</v>
      </c>
      <c r="B89" s="35" t="s">
        <v>204</v>
      </c>
      <c r="C89" s="52" t="s">
        <v>45</v>
      </c>
      <c r="D89" s="52" t="s">
        <v>45</v>
      </c>
      <c r="E89" s="52" t="s">
        <v>320</v>
      </c>
      <c r="F89" s="52"/>
      <c r="G89" s="52"/>
      <c r="H89" s="50"/>
      <c r="I89" s="53">
        <v>10000000</v>
      </c>
      <c r="J89" s="53"/>
      <c r="K89" s="53"/>
      <c r="L89" s="53"/>
      <c r="M89" s="53"/>
      <c r="N89" s="53"/>
      <c r="O89" s="47"/>
      <c r="P89" s="115"/>
      <c r="Q89" s="47"/>
      <c r="R89" s="115">
        <v>0</v>
      </c>
      <c r="S89" s="115">
        <v>0</v>
      </c>
      <c r="T89" s="115">
        <v>0</v>
      </c>
      <c r="U89" s="115">
        <v>0</v>
      </c>
      <c r="V89" s="115">
        <v>0</v>
      </c>
      <c r="W89" s="115">
        <v>0</v>
      </c>
      <c r="X89" s="54">
        <v>405000</v>
      </c>
      <c r="Y89" s="54">
        <v>780000</v>
      </c>
      <c r="Z89" s="54">
        <v>1100000</v>
      </c>
      <c r="AA89" s="54">
        <v>1300000</v>
      </c>
      <c r="AB89" s="54">
        <v>1400000</v>
      </c>
      <c r="AC89" s="54">
        <v>1400000</v>
      </c>
      <c r="AD89" s="47"/>
      <c r="AE89" s="54">
        <v>3615000</v>
      </c>
      <c r="AF89" s="53"/>
      <c r="AG89" s="47"/>
      <c r="AH89" s="53">
        <f t="shared" si="17"/>
        <v>10000000</v>
      </c>
      <c r="AI89" s="51"/>
      <c r="AJ89" s="218">
        <f t="shared" si="19"/>
        <v>0</v>
      </c>
    </row>
    <row r="90" spans="1:36" s="36" customFormat="1" ht="15.75" x14ac:dyDescent="0.25">
      <c r="A90" s="34" t="s">
        <v>206</v>
      </c>
      <c r="B90" s="35" t="s">
        <v>207</v>
      </c>
      <c r="C90" s="52" t="s">
        <v>45</v>
      </c>
      <c r="D90" s="52" t="s">
        <v>45</v>
      </c>
      <c r="E90" s="52" t="s">
        <v>320</v>
      </c>
      <c r="F90" s="52"/>
      <c r="G90" s="52"/>
      <c r="H90" s="50"/>
      <c r="I90" s="53">
        <v>5000000</v>
      </c>
      <c r="J90" s="53"/>
      <c r="K90" s="53"/>
      <c r="L90" s="53"/>
      <c r="M90" s="53"/>
      <c r="N90" s="53"/>
      <c r="O90" s="47"/>
      <c r="P90" s="115"/>
      <c r="Q90" s="47"/>
      <c r="R90" s="115">
        <v>0</v>
      </c>
      <c r="S90" s="115">
        <v>0</v>
      </c>
      <c r="T90" s="115">
        <v>0</v>
      </c>
      <c r="U90" s="115">
        <v>0</v>
      </c>
      <c r="V90" s="115">
        <v>0</v>
      </c>
      <c r="W90" s="115">
        <v>0</v>
      </c>
      <c r="X90" s="53"/>
      <c r="Y90" s="53"/>
      <c r="Z90" s="53"/>
      <c r="AA90" s="53"/>
      <c r="AB90" s="53"/>
      <c r="AC90" s="53"/>
      <c r="AD90" s="47"/>
      <c r="AE90" s="54">
        <v>5000000</v>
      </c>
      <c r="AF90" s="53"/>
      <c r="AG90" s="47"/>
      <c r="AH90" s="53">
        <f t="shared" si="17"/>
        <v>5000000</v>
      </c>
      <c r="AI90" s="51"/>
      <c r="AJ90" s="218">
        <f t="shared" si="19"/>
        <v>0</v>
      </c>
    </row>
    <row r="91" spans="1:36" s="36" customFormat="1" ht="15.75" x14ac:dyDescent="0.25">
      <c r="A91" s="34" t="s">
        <v>208</v>
      </c>
      <c r="B91" s="35" t="s">
        <v>209</v>
      </c>
      <c r="C91" s="52" t="s">
        <v>45</v>
      </c>
      <c r="D91" s="52" t="s">
        <v>45</v>
      </c>
      <c r="E91" s="52" t="s">
        <v>320</v>
      </c>
      <c r="F91" s="52"/>
      <c r="G91" s="52"/>
      <c r="H91" s="50"/>
      <c r="I91" s="53">
        <v>1750000</v>
      </c>
      <c r="J91" s="53"/>
      <c r="K91" s="53"/>
      <c r="L91" s="53"/>
      <c r="M91" s="53"/>
      <c r="N91" s="53"/>
      <c r="O91" s="47"/>
      <c r="P91" s="115"/>
      <c r="Q91" s="47"/>
      <c r="R91" s="115">
        <v>0</v>
      </c>
      <c r="S91" s="115">
        <v>0</v>
      </c>
      <c r="T91" s="115">
        <v>0</v>
      </c>
      <c r="U91" s="115">
        <v>0</v>
      </c>
      <c r="V91" s="115">
        <v>0</v>
      </c>
      <c r="W91" s="115">
        <v>0</v>
      </c>
      <c r="X91" s="53"/>
      <c r="Y91" s="53"/>
      <c r="Z91" s="53"/>
      <c r="AA91" s="53"/>
      <c r="AB91" s="53"/>
      <c r="AC91" s="53"/>
      <c r="AD91" s="47"/>
      <c r="AE91" s="54">
        <v>1750000</v>
      </c>
      <c r="AF91" s="53"/>
      <c r="AG91" s="47"/>
      <c r="AH91" s="53">
        <f t="shared" si="17"/>
        <v>1750000</v>
      </c>
      <c r="AI91" s="51"/>
      <c r="AJ91" s="218">
        <f t="shared" si="19"/>
        <v>0</v>
      </c>
    </row>
    <row r="92" spans="1:36" s="36" customFormat="1" ht="15.75" x14ac:dyDescent="0.25">
      <c r="A92" s="34" t="s">
        <v>210</v>
      </c>
      <c r="B92" s="35" t="s">
        <v>211</v>
      </c>
      <c r="C92" s="52" t="s">
        <v>45</v>
      </c>
      <c r="D92" s="52" t="s">
        <v>45</v>
      </c>
      <c r="E92" s="52" t="s">
        <v>320</v>
      </c>
      <c r="F92" s="52" t="s">
        <v>165</v>
      </c>
      <c r="G92" s="52" t="s">
        <v>165</v>
      </c>
      <c r="H92" s="52" t="s">
        <v>165</v>
      </c>
      <c r="I92" s="52" t="s">
        <v>165</v>
      </c>
      <c r="J92" s="53"/>
      <c r="K92" s="53"/>
      <c r="L92" s="53"/>
      <c r="M92" s="53"/>
      <c r="N92" s="53"/>
      <c r="O92" s="47"/>
      <c r="P92" s="115"/>
      <c r="Q92" s="47"/>
      <c r="R92" s="115">
        <v>0</v>
      </c>
      <c r="S92" s="115">
        <v>0</v>
      </c>
      <c r="T92" s="115">
        <v>0</v>
      </c>
      <c r="U92" s="115">
        <v>0</v>
      </c>
      <c r="V92" s="115">
        <v>0</v>
      </c>
      <c r="W92" s="115">
        <v>0</v>
      </c>
      <c r="X92" s="53"/>
      <c r="Y92" s="53"/>
      <c r="Z92" s="53"/>
      <c r="AA92" s="53"/>
      <c r="AB92" s="53"/>
      <c r="AC92" s="53"/>
      <c r="AD92" s="47"/>
      <c r="AE92" s="53"/>
      <c r="AF92" s="53"/>
      <c r="AG92" s="47"/>
      <c r="AH92" s="53">
        <f t="shared" si="17"/>
        <v>0</v>
      </c>
      <c r="AI92" s="51"/>
      <c r="AJ92" s="246" t="s">
        <v>165</v>
      </c>
    </row>
    <row r="93" spans="1:36" s="36" customFormat="1" ht="15.75" x14ac:dyDescent="0.25">
      <c r="A93" s="34" t="s">
        <v>210</v>
      </c>
      <c r="B93" s="35" t="s">
        <v>438</v>
      </c>
      <c r="C93" s="52" t="s">
        <v>45</v>
      </c>
      <c r="D93" s="52" t="s">
        <v>45</v>
      </c>
      <c r="E93" s="52" t="s">
        <v>320</v>
      </c>
      <c r="F93" s="52" t="s">
        <v>165</v>
      </c>
      <c r="G93" s="52" t="s">
        <v>165</v>
      </c>
      <c r="H93" s="52" t="s">
        <v>165</v>
      </c>
      <c r="I93" s="52" t="s">
        <v>165</v>
      </c>
      <c r="J93" s="53"/>
      <c r="K93" s="53"/>
      <c r="L93" s="53"/>
      <c r="M93" s="53"/>
      <c r="N93" s="53"/>
      <c r="O93" s="47"/>
      <c r="P93" s="115"/>
      <c r="Q93" s="47"/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53"/>
      <c r="Y93" s="53"/>
      <c r="Z93" s="53"/>
      <c r="AA93" s="53"/>
      <c r="AB93" s="53"/>
      <c r="AC93" s="53"/>
      <c r="AD93" s="47"/>
      <c r="AE93" s="53"/>
      <c r="AF93" s="53"/>
      <c r="AG93" s="47"/>
      <c r="AH93" s="53">
        <f t="shared" si="17"/>
        <v>0</v>
      </c>
      <c r="AI93" s="51"/>
      <c r="AJ93" s="246" t="s">
        <v>165</v>
      </c>
    </row>
    <row r="94" spans="1:36" s="36" customFormat="1" ht="15.75" x14ac:dyDescent="0.25">
      <c r="A94" s="34" t="s">
        <v>210</v>
      </c>
      <c r="B94" s="35" t="s">
        <v>439</v>
      </c>
      <c r="C94" s="52" t="s">
        <v>45</v>
      </c>
      <c r="D94" s="52" t="s">
        <v>45</v>
      </c>
      <c r="E94" s="52" t="s">
        <v>320</v>
      </c>
      <c r="F94" s="52" t="s">
        <v>319</v>
      </c>
      <c r="G94" s="52" t="s">
        <v>319</v>
      </c>
      <c r="H94" s="52" t="s">
        <v>319</v>
      </c>
      <c r="I94" s="52" t="s">
        <v>319</v>
      </c>
      <c r="J94" s="53"/>
      <c r="K94" s="53"/>
      <c r="L94" s="53"/>
      <c r="M94" s="53"/>
      <c r="N94" s="53"/>
      <c r="O94" s="47"/>
      <c r="P94" s="115"/>
      <c r="Q94" s="47"/>
      <c r="R94" s="115">
        <v>0</v>
      </c>
      <c r="S94" s="115">
        <v>0</v>
      </c>
      <c r="T94" s="115">
        <v>0</v>
      </c>
      <c r="U94" s="115">
        <v>0</v>
      </c>
      <c r="V94" s="115">
        <v>0</v>
      </c>
      <c r="W94" s="115">
        <v>0</v>
      </c>
      <c r="X94" s="53"/>
      <c r="Y94" s="53"/>
      <c r="Z94" s="53"/>
      <c r="AA94" s="53"/>
      <c r="AB94" s="53"/>
      <c r="AC94" s="53"/>
      <c r="AD94" s="47"/>
      <c r="AE94" s="53"/>
      <c r="AF94" s="53"/>
      <c r="AG94" s="47"/>
      <c r="AH94" s="53">
        <f t="shared" si="17"/>
        <v>0</v>
      </c>
      <c r="AI94" s="51"/>
      <c r="AJ94" s="246" t="s">
        <v>319</v>
      </c>
    </row>
    <row r="95" spans="1:36" s="36" customFormat="1" ht="15.75" x14ac:dyDescent="0.25">
      <c r="A95" s="34" t="s">
        <v>210</v>
      </c>
      <c r="B95" s="35" t="s">
        <v>440</v>
      </c>
      <c r="C95" s="52" t="s">
        <v>45</v>
      </c>
      <c r="D95" s="52" t="s">
        <v>45</v>
      </c>
      <c r="E95" s="52" t="s">
        <v>320</v>
      </c>
      <c r="F95" s="52" t="s">
        <v>319</v>
      </c>
      <c r="G95" s="52" t="s">
        <v>319</v>
      </c>
      <c r="H95" s="52" t="s">
        <v>319</v>
      </c>
      <c r="I95" s="52" t="s">
        <v>319</v>
      </c>
      <c r="J95" s="53"/>
      <c r="K95" s="53"/>
      <c r="L95" s="53"/>
      <c r="M95" s="53"/>
      <c r="N95" s="53"/>
      <c r="O95" s="47"/>
      <c r="P95" s="115"/>
      <c r="Q95" s="47"/>
      <c r="R95" s="115">
        <v>0</v>
      </c>
      <c r="S95" s="115">
        <v>0</v>
      </c>
      <c r="T95" s="115">
        <v>0</v>
      </c>
      <c r="U95" s="115">
        <v>0</v>
      </c>
      <c r="V95" s="115">
        <v>0</v>
      </c>
      <c r="W95" s="115">
        <v>0</v>
      </c>
      <c r="X95" s="53"/>
      <c r="Y95" s="53"/>
      <c r="Z95" s="53"/>
      <c r="AA95" s="53"/>
      <c r="AB95" s="53"/>
      <c r="AC95" s="53"/>
      <c r="AD95" s="47"/>
      <c r="AE95" s="53"/>
      <c r="AF95" s="53"/>
      <c r="AG95" s="47"/>
      <c r="AH95" s="53">
        <f t="shared" si="17"/>
        <v>0</v>
      </c>
      <c r="AI95" s="51"/>
      <c r="AJ95" s="246" t="s">
        <v>319</v>
      </c>
    </row>
    <row r="96" spans="1:36" s="36" customFormat="1" ht="15.75" x14ac:dyDescent="0.25">
      <c r="A96" s="34" t="s">
        <v>215</v>
      </c>
      <c r="B96" s="35" t="s">
        <v>216</v>
      </c>
      <c r="C96" s="52" t="s">
        <v>45</v>
      </c>
      <c r="D96" s="52" t="s">
        <v>45</v>
      </c>
      <c r="E96" s="52" t="s">
        <v>320</v>
      </c>
      <c r="F96" s="52"/>
      <c r="G96" s="52"/>
      <c r="H96" s="50"/>
      <c r="I96" s="182">
        <v>67027</v>
      </c>
      <c r="J96" s="53"/>
      <c r="K96" s="53"/>
      <c r="L96" s="53"/>
      <c r="M96" s="53"/>
      <c r="N96" s="53"/>
      <c r="O96" s="47"/>
      <c r="P96" s="115"/>
      <c r="Q96" s="47"/>
      <c r="R96" s="115">
        <v>0</v>
      </c>
      <c r="S96" s="115">
        <v>0</v>
      </c>
      <c r="T96" s="115">
        <v>0</v>
      </c>
      <c r="U96" s="115">
        <v>0</v>
      </c>
      <c r="V96" s="115">
        <v>0</v>
      </c>
      <c r="W96" s="115">
        <f>67027</f>
        <v>67027</v>
      </c>
      <c r="X96" s="53"/>
      <c r="Y96" s="53"/>
      <c r="Z96" s="53"/>
      <c r="AA96" s="53"/>
      <c r="AB96" s="53"/>
      <c r="AC96" s="53"/>
      <c r="AD96" s="47"/>
      <c r="AE96" s="58"/>
      <c r="AF96" s="53"/>
      <c r="AG96" s="47"/>
      <c r="AH96" s="53">
        <f t="shared" si="17"/>
        <v>67027</v>
      </c>
      <c r="AI96" s="51"/>
      <c r="AJ96" s="218">
        <f t="shared" si="19"/>
        <v>0</v>
      </c>
    </row>
    <row r="97" spans="1:37" s="36" customFormat="1" ht="15.75" x14ac:dyDescent="0.25">
      <c r="A97" s="34" t="s">
        <v>210</v>
      </c>
      <c r="B97" s="35" t="s">
        <v>217</v>
      </c>
      <c r="C97" s="52" t="s">
        <v>45</v>
      </c>
      <c r="D97" s="52" t="s">
        <v>45</v>
      </c>
      <c r="E97" s="52" t="s">
        <v>320</v>
      </c>
      <c r="F97" s="52"/>
      <c r="G97" s="52"/>
      <c r="H97" s="50"/>
      <c r="I97" s="53"/>
      <c r="J97" s="53"/>
      <c r="K97" s="53"/>
      <c r="L97" s="53"/>
      <c r="M97" s="53"/>
      <c r="N97" s="53"/>
      <c r="O97" s="47"/>
      <c r="P97" s="115"/>
      <c r="Q97" s="47"/>
      <c r="R97" s="115">
        <v>0</v>
      </c>
      <c r="S97" s="115">
        <v>0</v>
      </c>
      <c r="T97" s="115">
        <v>0</v>
      </c>
      <c r="U97" s="115">
        <v>0</v>
      </c>
      <c r="V97" s="115">
        <v>0</v>
      </c>
      <c r="W97" s="115">
        <v>0</v>
      </c>
      <c r="X97" s="53"/>
      <c r="Y97" s="53"/>
      <c r="Z97" s="53"/>
      <c r="AA97" s="53"/>
      <c r="AB97" s="53"/>
      <c r="AC97" s="53"/>
      <c r="AD97" s="47"/>
      <c r="AE97" s="53"/>
      <c r="AF97" s="53"/>
      <c r="AG97" s="47"/>
      <c r="AH97" s="53">
        <f t="shared" si="17"/>
        <v>0</v>
      </c>
      <c r="AI97" s="51"/>
      <c r="AJ97" s="218">
        <f t="shared" si="19"/>
        <v>0</v>
      </c>
    </row>
    <row r="98" spans="1:37" s="36" customFormat="1" ht="15.75" x14ac:dyDescent="0.25">
      <c r="A98" s="34" t="s">
        <v>210</v>
      </c>
      <c r="B98" s="35" t="s">
        <v>211</v>
      </c>
      <c r="C98" s="52" t="s">
        <v>45</v>
      </c>
      <c r="D98" s="52" t="s">
        <v>45</v>
      </c>
      <c r="E98" s="52" t="s">
        <v>320</v>
      </c>
      <c r="F98" s="52"/>
      <c r="G98" s="52"/>
      <c r="H98" s="50"/>
      <c r="I98" s="53"/>
      <c r="J98" s="53"/>
      <c r="K98" s="53"/>
      <c r="L98" s="53"/>
      <c r="M98" s="53"/>
      <c r="N98" s="53"/>
      <c r="O98" s="47"/>
      <c r="P98" s="115"/>
      <c r="Q98" s="47"/>
      <c r="R98" s="115">
        <v>0</v>
      </c>
      <c r="S98" s="115">
        <v>0</v>
      </c>
      <c r="T98" s="115">
        <v>0</v>
      </c>
      <c r="U98" s="115">
        <v>0</v>
      </c>
      <c r="V98" s="115">
        <v>0</v>
      </c>
      <c r="W98" s="115">
        <v>0</v>
      </c>
      <c r="X98" s="53"/>
      <c r="Y98" s="53"/>
      <c r="Z98" s="53"/>
      <c r="AA98" s="53"/>
      <c r="AB98" s="53"/>
      <c r="AC98" s="53"/>
      <c r="AD98" s="47"/>
      <c r="AE98" s="53"/>
      <c r="AF98" s="53"/>
      <c r="AG98" s="47"/>
      <c r="AH98" s="53">
        <f t="shared" si="17"/>
        <v>0</v>
      </c>
      <c r="AI98" s="51"/>
      <c r="AJ98" s="218">
        <f t="shared" si="19"/>
        <v>0</v>
      </c>
    </row>
    <row r="99" spans="1:37" s="36" customFormat="1" ht="15.75" x14ac:dyDescent="0.25">
      <c r="A99" s="34" t="s">
        <v>210</v>
      </c>
      <c r="B99" s="35" t="s">
        <v>218</v>
      </c>
      <c r="C99" s="52" t="s">
        <v>45</v>
      </c>
      <c r="D99" s="52" t="s">
        <v>45</v>
      </c>
      <c r="E99" s="52" t="s">
        <v>320</v>
      </c>
      <c r="F99" s="52"/>
      <c r="G99" s="52"/>
      <c r="H99" s="50"/>
      <c r="I99" s="53"/>
      <c r="J99" s="53"/>
      <c r="K99" s="53"/>
      <c r="L99" s="53"/>
      <c r="M99" s="53"/>
      <c r="N99" s="53"/>
      <c r="O99" s="47"/>
      <c r="P99" s="115"/>
      <c r="Q99" s="47"/>
      <c r="R99" s="115">
        <v>0</v>
      </c>
      <c r="S99" s="115">
        <v>0</v>
      </c>
      <c r="T99" s="115">
        <v>0</v>
      </c>
      <c r="U99" s="115">
        <v>0</v>
      </c>
      <c r="V99" s="115">
        <v>0</v>
      </c>
      <c r="W99" s="115">
        <v>0</v>
      </c>
      <c r="X99" s="53"/>
      <c r="Y99" s="53"/>
      <c r="Z99" s="53"/>
      <c r="AA99" s="53"/>
      <c r="AB99" s="53"/>
      <c r="AC99" s="53"/>
      <c r="AD99" s="47"/>
      <c r="AE99" s="53"/>
      <c r="AF99" s="53"/>
      <c r="AG99" s="47"/>
      <c r="AH99" s="53">
        <f t="shared" si="17"/>
        <v>0</v>
      </c>
      <c r="AI99" s="51"/>
      <c r="AJ99" s="218">
        <f t="shared" si="19"/>
        <v>0</v>
      </c>
    </row>
    <row r="100" spans="1:37" s="36" customFormat="1" ht="15.75" x14ac:dyDescent="0.25">
      <c r="A100" s="34" t="s">
        <v>210</v>
      </c>
      <c r="B100" s="35" t="s">
        <v>219</v>
      </c>
      <c r="C100" s="52" t="s">
        <v>45</v>
      </c>
      <c r="D100" s="52" t="s">
        <v>45</v>
      </c>
      <c r="E100" s="52" t="s">
        <v>320</v>
      </c>
      <c r="F100" s="52"/>
      <c r="G100" s="52"/>
      <c r="H100" s="50"/>
      <c r="I100" s="53"/>
      <c r="J100" s="53"/>
      <c r="K100" s="53"/>
      <c r="L100" s="53"/>
      <c r="M100" s="53"/>
      <c r="N100" s="53"/>
      <c r="O100" s="47"/>
      <c r="P100" s="115"/>
      <c r="Q100" s="47"/>
      <c r="R100" s="115">
        <v>0</v>
      </c>
      <c r="S100" s="115">
        <v>0</v>
      </c>
      <c r="T100" s="115">
        <v>0</v>
      </c>
      <c r="U100" s="115">
        <v>0</v>
      </c>
      <c r="V100" s="115">
        <v>0</v>
      </c>
      <c r="W100" s="115">
        <v>0</v>
      </c>
      <c r="X100" s="53"/>
      <c r="Y100" s="53"/>
      <c r="Z100" s="53"/>
      <c r="AA100" s="53"/>
      <c r="AB100" s="53"/>
      <c r="AC100" s="53"/>
      <c r="AD100" s="47"/>
      <c r="AE100" s="53"/>
      <c r="AF100" s="53"/>
      <c r="AG100" s="47"/>
      <c r="AH100" s="53">
        <f t="shared" si="17"/>
        <v>0</v>
      </c>
      <c r="AI100" s="51"/>
      <c r="AJ100" s="218">
        <f t="shared" si="19"/>
        <v>0</v>
      </c>
    </row>
    <row r="101" spans="1:37" s="36" customFormat="1" ht="15.75" x14ac:dyDescent="0.25">
      <c r="A101" s="34" t="s">
        <v>210</v>
      </c>
      <c r="B101" s="35" t="s">
        <v>441</v>
      </c>
      <c r="C101" s="52" t="s">
        <v>45</v>
      </c>
      <c r="D101" s="52" t="s">
        <v>45</v>
      </c>
      <c r="E101" s="52" t="s">
        <v>320</v>
      </c>
      <c r="F101" s="52"/>
      <c r="G101" s="52"/>
      <c r="H101" s="50"/>
      <c r="I101" s="53"/>
      <c r="J101" s="53"/>
      <c r="K101" s="53"/>
      <c r="L101" s="53"/>
      <c r="M101" s="53"/>
      <c r="N101" s="53"/>
      <c r="O101" s="47"/>
      <c r="P101" s="115"/>
      <c r="Q101" s="47"/>
      <c r="R101" s="115">
        <v>0</v>
      </c>
      <c r="S101" s="115">
        <v>0</v>
      </c>
      <c r="T101" s="115">
        <v>0</v>
      </c>
      <c r="U101" s="115">
        <v>0</v>
      </c>
      <c r="V101" s="115">
        <v>0</v>
      </c>
      <c r="W101" s="115">
        <v>0</v>
      </c>
      <c r="X101" s="53"/>
      <c r="Y101" s="53"/>
      <c r="Z101" s="53"/>
      <c r="AA101" s="53"/>
      <c r="AB101" s="53"/>
      <c r="AC101" s="53"/>
      <c r="AD101" s="47"/>
      <c r="AE101" s="53"/>
      <c r="AF101" s="53"/>
      <c r="AG101" s="47"/>
      <c r="AH101" s="53">
        <f t="shared" si="17"/>
        <v>0</v>
      </c>
      <c r="AI101" s="51"/>
      <c r="AJ101" s="218">
        <f t="shared" si="19"/>
        <v>0</v>
      </c>
    </row>
    <row r="102" spans="1:37" s="36" customFormat="1" ht="15.75" x14ac:dyDescent="0.25">
      <c r="A102" s="34" t="s">
        <v>210</v>
      </c>
      <c r="B102" s="35" t="s">
        <v>221</v>
      </c>
      <c r="C102" s="52" t="s">
        <v>45</v>
      </c>
      <c r="D102" s="52" t="s">
        <v>45</v>
      </c>
      <c r="E102" s="52" t="s">
        <v>320</v>
      </c>
      <c r="F102" s="52"/>
      <c r="G102" s="52"/>
      <c r="H102" s="50"/>
      <c r="I102" s="53"/>
      <c r="J102" s="53"/>
      <c r="K102" s="53"/>
      <c r="L102" s="53"/>
      <c r="M102" s="53"/>
      <c r="N102" s="53"/>
      <c r="O102" s="47"/>
      <c r="P102" s="115"/>
      <c r="Q102" s="47"/>
      <c r="R102" s="115">
        <v>0</v>
      </c>
      <c r="S102" s="115">
        <v>0</v>
      </c>
      <c r="T102" s="115">
        <v>0</v>
      </c>
      <c r="U102" s="115">
        <v>0</v>
      </c>
      <c r="V102" s="115">
        <v>0</v>
      </c>
      <c r="W102" s="115">
        <v>0</v>
      </c>
      <c r="X102" s="53"/>
      <c r="Y102" s="53"/>
      <c r="Z102" s="53"/>
      <c r="AA102" s="53"/>
      <c r="AB102" s="53"/>
      <c r="AC102" s="53"/>
      <c r="AD102" s="47"/>
      <c r="AE102" s="53"/>
      <c r="AF102" s="53"/>
      <c r="AG102" s="47"/>
      <c r="AH102" s="53">
        <f t="shared" si="17"/>
        <v>0</v>
      </c>
      <c r="AI102" s="51"/>
      <c r="AJ102" s="218">
        <f t="shared" si="19"/>
        <v>0</v>
      </c>
    </row>
    <row r="103" spans="1:37" s="36" customFormat="1" ht="15.75" x14ac:dyDescent="0.25">
      <c r="A103" s="34" t="s">
        <v>210</v>
      </c>
      <c r="B103" s="35" t="s">
        <v>223</v>
      </c>
      <c r="C103" s="52" t="s">
        <v>45</v>
      </c>
      <c r="D103" s="52" t="s">
        <v>45</v>
      </c>
      <c r="E103" s="52" t="s">
        <v>320</v>
      </c>
      <c r="F103" s="52"/>
      <c r="G103" s="52"/>
      <c r="H103" s="50"/>
      <c r="I103" s="53">
        <v>90000</v>
      </c>
      <c r="J103" s="53"/>
      <c r="K103" s="53"/>
      <c r="L103" s="53"/>
      <c r="M103" s="53"/>
      <c r="N103" s="53"/>
      <c r="O103" s="47"/>
      <c r="P103" s="115"/>
      <c r="Q103" s="47"/>
      <c r="R103" s="115">
        <v>0</v>
      </c>
      <c r="S103" s="115">
        <v>0</v>
      </c>
      <c r="T103" s="115">
        <v>0</v>
      </c>
      <c r="U103" s="115">
        <v>0</v>
      </c>
      <c r="V103" s="115">
        <v>0</v>
      </c>
      <c r="W103" s="115">
        <v>0</v>
      </c>
      <c r="X103" s="53"/>
      <c r="Y103" s="53"/>
      <c r="Z103" s="53"/>
      <c r="AA103" s="53"/>
      <c r="AB103" s="53"/>
      <c r="AC103" s="53"/>
      <c r="AD103" s="47"/>
      <c r="AE103" s="54">
        <v>90000</v>
      </c>
      <c r="AF103" s="53"/>
      <c r="AG103" s="47"/>
      <c r="AH103" s="53">
        <f t="shared" si="17"/>
        <v>90000</v>
      </c>
      <c r="AI103" s="51"/>
      <c r="AJ103" s="218">
        <f t="shared" si="19"/>
        <v>0</v>
      </c>
    </row>
    <row r="104" spans="1:37" s="36" customFormat="1" ht="15.75" x14ac:dyDescent="0.25">
      <c r="A104" s="34" t="s">
        <v>398</v>
      </c>
      <c r="B104" s="35" t="s">
        <v>225</v>
      </c>
      <c r="C104" s="52" t="s">
        <v>45</v>
      </c>
      <c r="D104" s="52" t="s">
        <v>45</v>
      </c>
      <c r="E104" s="52" t="s">
        <v>320</v>
      </c>
      <c r="F104" s="52">
        <v>44409</v>
      </c>
      <c r="G104" s="52">
        <v>44649</v>
      </c>
      <c r="H104" s="50"/>
      <c r="I104" s="53">
        <v>1500000</v>
      </c>
      <c r="J104" s="53"/>
      <c r="K104" s="53"/>
      <c r="L104" s="53"/>
      <c r="M104" s="53"/>
      <c r="N104" s="53"/>
      <c r="O104" s="47"/>
      <c r="P104" s="115"/>
      <c r="Q104" s="47"/>
      <c r="R104" s="115">
        <v>0</v>
      </c>
      <c r="S104" s="115">
        <v>0</v>
      </c>
      <c r="T104" s="115">
        <v>0</v>
      </c>
      <c r="U104" s="115">
        <v>0</v>
      </c>
      <c r="V104" s="115">
        <v>0</v>
      </c>
      <c r="W104" s="115">
        <v>0</v>
      </c>
      <c r="X104" s="53"/>
      <c r="Y104" s="53"/>
      <c r="Z104" s="53"/>
      <c r="AA104" s="53"/>
      <c r="AB104" s="53"/>
      <c r="AC104" s="53"/>
      <c r="AD104" s="47"/>
      <c r="AE104" s="54">
        <v>1500000</v>
      </c>
      <c r="AF104" s="53"/>
      <c r="AG104" s="47"/>
      <c r="AH104" s="53">
        <f t="shared" si="17"/>
        <v>1500000</v>
      </c>
      <c r="AI104" s="51"/>
      <c r="AJ104" s="218">
        <f t="shared" si="19"/>
        <v>0</v>
      </c>
    </row>
    <row r="105" spans="1:37" s="36" customFormat="1" ht="15.75" x14ac:dyDescent="0.25">
      <c r="A105" s="248" t="s">
        <v>337</v>
      </c>
      <c r="B105" s="249" t="s">
        <v>422</v>
      </c>
      <c r="C105" s="250" t="s">
        <v>387</v>
      </c>
      <c r="D105" s="250" t="s">
        <v>45</v>
      </c>
      <c r="E105" s="250" t="s">
        <v>320</v>
      </c>
      <c r="F105" s="250" t="s">
        <v>319</v>
      </c>
      <c r="G105" s="250" t="s">
        <v>319</v>
      </c>
      <c r="H105" s="250" t="s">
        <v>319</v>
      </c>
      <c r="I105" s="251">
        <v>37392</v>
      </c>
      <c r="J105" s="53"/>
      <c r="K105" s="53"/>
      <c r="L105" s="53"/>
      <c r="M105" s="53"/>
      <c r="N105" s="53"/>
      <c r="O105" s="47"/>
      <c r="P105" s="115"/>
      <c r="Q105" s="47"/>
      <c r="R105" s="115">
        <v>0</v>
      </c>
      <c r="S105" s="115">
        <v>37392</v>
      </c>
      <c r="T105" s="115">
        <v>0</v>
      </c>
      <c r="U105" s="115">
        <v>0</v>
      </c>
      <c r="V105" s="115">
        <v>0</v>
      </c>
      <c r="W105" s="115">
        <v>0</v>
      </c>
      <c r="X105" s="58"/>
      <c r="Y105" s="58"/>
      <c r="Z105" s="58"/>
      <c r="AA105" s="58"/>
      <c r="AB105" s="58"/>
      <c r="AC105" s="58"/>
      <c r="AD105" s="47"/>
      <c r="AE105" s="53"/>
      <c r="AF105" s="53"/>
      <c r="AG105" s="47"/>
      <c r="AH105" s="53">
        <f>SUM(P105:AG105)</f>
        <v>37392</v>
      </c>
      <c r="AI105" s="51"/>
      <c r="AJ105" s="218">
        <f>I105-AH105</f>
        <v>0</v>
      </c>
    </row>
    <row r="106" spans="1:37" s="36" customFormat="1" ht="15.75" x14ac:dyDescent="0.25">
      <c r="A106" s="183" t="s">
        <v>340</v>
      </c>
      <c r="B106" s="184" t="s">
        <v>429</v>
      </c>
      <c r="C106" s="52" t="s">
        <v>387</v>
      </c>
      <c r="D106" s="87" t="s">
        <v>45</v>
      </c>
      <c r="E106" s="52" t="s">
        <v>320</v>
      </c>
      <c r="F106" s="52" t="s">
        <v>319</v>
      </c>
      <c r="G106" s="52" t="s">
        <v>319</v>
      </c>
      <c r="H106" s="52" t="s">
        <v>319</v>
      </c>
      <c r="I106" s="53">
        <v>3575</v>
      </c>
      <c r="J106" s="53"/>
      <c r="K106" s="53"/>
      <c r="L106" s="53"/>
      <c r="M106" s="53"/>
      <c r="N106" s="53"/>
      <c r="O106" s="47"/>
      <c r="P106" s="115"/>
      <c r="Q106" s="47"/>
      <c r="R106" s="115">
        <v>0</v>
      </c>
      <c r="S106" s="115">
        <v>3575</v>
      </c>
      <c r="T106" s="115">
        <v>0</v>
      </c>
      <c r="U106" s="115">
        <v>0</v>
      </c>
      <c r="V106" s="115">
        <v>0</v>
      </c>
      <c r="W106" s="115">
        <v>0</v>
      </c>
      <c r="X106" s="58"/>
      <c r="Y106" s="58"/>
      <c r="Z106" s="58"/>
      <c r="AA106" s="58"/>
      <c r="AB106" s="58"/>
      <c r="AC106" s="58"/>
      <c r="AD106" s="47"/>
      <c r="AE106" s="58"/>
      <c r="AF106" s="53"/>
      <c r="AG106" s="47"/>
      <c r="AH106" s="53">
        <f>SUM(P106:AG106)</f>
        <v>3575</v>
      </c>
      <c r="AI106" s="51"/>
      <c r="AJ106" s="218">
        <f>I106-AH106</f>
        <v>0</v>
      </c>
    </row>
    <row r="107" spans="1:37" s="36" customFormat="1" ht="15.75" x14ac:dyDescent="0.25">
      <c r="A107" s="34" t="s">
        <v>228</v>
      </c>
      <c r="B107" s="35" t="s">
        <v>443</v>
      </c>
      <c r="C107" s="52" t="s">
        <v>45</v>
      </c>
      <c r="D107" s="52" t="s">
        <v>389</v>
      </c>
      <c r="E107" s="52" t="s">
        <v>320</v>
      </c>
      <c r="F107" s="52"/>
      <c r="G107" s="52"/>
      <c r="H107" s="50"/>
      <c r="I107" s="53">
        <v>1750000</v>
      </c>
      <c r="J107" s="53"/>
      <c r="K107" s="53"/>
      <c r="L107" s="53"/>
      <c r="M107" s="53"/>
      <c r="N107" s="53"/>
      <c r="O107" s="47"/>
      <c r="P107" s="115"/>
      <c r="Q107" s="47"/>
      <c r="R107" s="115">
        <v>0</v>
      </c>
      <c r="S107" s="115">
        <v>0</v>
      </c>
      <c r="T107" s="115">
        <v>0</v>
      </c>
      <c r="U107" s="115">
        <v>0</v>
      </c>
      <c r="V107" s="115">
        <v>0</v>
      </c>
      <c r="W107" s="115">
        <v>0</v>
      </c>
      <c r="X107" s="53"/>
      <c r="Y107" s="53"/>
      <c r="Z107" s="53"/>
      <c r="AA107" s="53"/>
      <c r="AB107" s="53"/>
      <c r="AC107" s="53"/>
      <c r="AD107" s="47"/>
      <c r="AE107" s="53">
        <v>1750000</v>
      </c>
      <c r="AF107" s="53"/>
      <c r="AG107" s="47"/>
      <c r="AH107" s="53">
        <f t="shared" si="17"/>
        <v>1750000</v>
      </c>
      <c r="AI107" s="51"/>
      <c r="AJ107" s="218">
        <f t="shared" si="19"/>
        <v>0</v>
      </c>
    </row>
    <row r="108" spans="1:37" s="36" customFormat="1" ht="15.75" x14ac:dyDescent="0.25">
      <c r="A108" s="34"/>
      <c r="B108" s="35"/>
      <c r="C108" s="52"/>
      <c r="D108" s="52"/>
      <c r="E108" s="52"/>
      <c r="F108" s="52"/>
      <c r="G108" s="52"/>
      <c r="H108" s="50"/>
      <c r="I108" s="53"/>
      <c r="J108" s="53"/>
      <c r="K108" s="53"/>
      <c r="L108" s="53"/>
      <c r="M108" s="53"/>
      <c r="N108" s="53"/>
      <c r="O108" s="47"/>
      <c r="P108" s="115"/>
      <c r="Q108" s="47"/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53"/>
      <c r="Y108" s="53"/>
      <c r="Z108" s="53"/>
      <c r="AA108" s="53"/>
      <c r="AB108" s="53"/>
      <c r="AC108" s="53"/>
      <c r="AD108" s="47"/>
      <c r="AE108" s="53"/>
      <c r="AF108" s="53"/>
      <c r="AG108" s="47"/>
      <c r="AH108" s="53">
        <f t="shared" si="17"/>
        <v>0</v>
      </c>
      <c r="AI108" s="51"/>
      <c r="AJ108" s="218">
        <f t="shared" si="19"/>
        <v>0</v>
      </c>
    </row>
    <row r="109" spans="1:37" s="36" customFormat="1" ht="15.75" x14ac:dyDescent="0.25">
      <c r="A109" s="34"/>
      <c r="B109" s="35"/>
      <c r="C109" s="52"/>
      <c r="D109" s="52"/>
      <c r="E109" s="52"/>
      <c r="F109" s="52"/>
      <c r="G109" s="52"/>
      <c r="H109" s="50"/>
      <c r="I109" s="53"/>
      <c r="J109" s="53"/>
      <c r="K109" s="53"/>
      <c r="L109" s="53"/>
      <c r="M109" s="53"/>
      <c r="N109" s="53"/>
      <c r="O109" s="47"/>
      <c r="P109" s="115"/>
      <c r="Q109" s="47"/>
      <c r="R109" s="115">
        <v>0</v>
      </c>
      <c r="S109" s="115">
        <v>0</v>
      </c>
      <c r="T109" s="115">
        <v>0</v>
      </c>
      <c r="U109" s="115">
        <v>0</v>
      </c>
      <c r="V109" s="115">
        <v>0</v>
      </c>
      <c r="W109" s="115">
        <v>0</v>
      </c>
      <c r="X109" s="53"/>
      <c r="Y109" s="53"/>
      <c r="Z109" s="53"/>
      <c r="AA109" s="53"/>
      <c r="AB109" s="53"/>
      <c r="AC109" s="53"/>
      <c r="AD109" s="47"/>
      <c r="AE109" s="53"/>
      <c r="AF109" s="53"/>
      <c r="AG109" s="47"/>
      <c r="AH109" s="53">
        <f t="shared" si="17"/>
        <v>0</v>
      </c>
      <c r="AI109" s="51"/>
      <c r="AJ109" s="218">
        <f t="shared" si="19"/>
        <v>0</v>
      </c>
    </row>
    <row r="110" spans="1:37" s="36" customFormat="1" ht="15.75" x14ac:dyDescent="0.25">
      <c r="A110" s="99"/>
      <c r="B110" s="100"/>
      <c r="C110" s="91"/>
      <c r="D110" s="91"/>
      <c r="E110" s="91"/>
      <c r="F110" s="91"/>
      <c r="G110" s="91"/>
      <c r="H110" s="92"/>
      <c r="I110" s="59">
        <f>SUM(I80:I109)</f>
        <v>29929333</v>
      </c>
      <c r="J110" s="59"/>
      <c r="K110" s="59"/>
      <c r="L110" s="59"/>
      <c r="M110" s="59"/>
      <c r="N110" s="59"/>
      <c r="O110" s="47"/>
      <c r="P110" s="59">
        <f>SUM(P80:P109)</f>
        <v>122184</v>
      </c>
      <c r="Q110" s="47"/>
      <c r="R110" s="59">
        <f>SUM(R80:R109)</f>
        <v>353138</v>
      </c>
      <c r="S110" s="59">
        <f t="shared" ref="S110:AC110" si="20">SUM(S80:S109)</f>
        <v>167400</v>
      </c>
      <c r="T110" s="59">
        <f t="shared" si="20"/>
        <v>71648</v>
      </c>
      <c r="U110" s="59">
        <f t="shared" si="20"/>
        <v>146622</v>
      </c>
      <c r="V110" s="59">
        <f t="shared" si="20"/>
        <v>138757</v>
      </c>
      <c r="W110" s="59">
        <f t="shared" si="20"/>
        <v>170152</v>
      </c>
      <c r="X110" s="59">
        <f t="shared" si="20"/>
        <v>405000</v>
      </c>
      <c r="Y110" s="59">
        <f t="shared" si="20"/>
        <v>905000</v>
      </c>
      <c r="Z110" s="59">
        <f t="shared" si="20"/>
        <v>1275000</v>
      </c>
      <c r="AA110" s="59">
        <f t="shared" si="20"/>
        <v>2300000</v>
      </c>
      <c r="AB110" s="59">
        <f t="shared" si="20"/>
        <v>2400000</v>
      </c>
      <c r="AC110" s="59">
        <f t="shared" si="20"/>
        <v>2400000</v>
      </c>
      <c r="AD110" s="47"/>
      <c r="AE110" s="59">
        <f>SUM(AE80:AE109)</f>
        <v>19074432</v>
      </c>
      <c r="AF110" s="59">
        <f>SUM(AF80:AF109)</f>
        <v>0</v>
      </c>
      <c r="AG110" s="47"/>
      <c r="AH110" s="53">
        <f>SUM(P110:AG110)</f>
        <v>29929333</v>
      </c>
      <c r="AI110" s="51"/>
      <c r="AJ110" s="218">
        <f t="shared" si="19"/>
        <v>0</v>
      </c>
      <c r="AK110" s="55"/>
    </row>
    <row r="111" spans="1:37" s="36" customFormat="1" ht="16.5" thickBot="1" x14ac:dyDescent="0.3">
      <c r="A111" s="34"/>
      <c r="B111" s="35"/>
      <c r="C111" s="52"/>
      <c r="D111" s="52"/>
      <c r="E111" s="52"/>
      <c r="F111" s="52"/>
      <c r="G111" s="141"/>
      <c r="H111" s="142"/>
      <c r="I111" s="143"/>
      <c r="J111" s="143"/>
      <c r="K111" s="143"/>
      <c r="L111" s="143"/>
      <c r="M111" s="143"/>
      <c r="N111" s="143"/>
      <c r="O111" s="144"/>
      <c r="P111" s="143"/>
      <c r="Q111" s="144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4"/>
      <c r="AE111" s="143"/>
      <c r="AF111" s="143"/>
      <c r="AG111" s="144"/>
      <c r="AH111" s="143"/>
      <c r="AI111" s="145"/>
      <c r="AJ111" s="218">
        <f t="shared" si="19"/>
        <v>0</v>
      </c>
    </row>
    <row r="112" spans="1:37" s="36" customFormat="1" ht="16.5" thickBot="1" x14ac:dyDescent="0.3">
      <c r="C112" s="37"/>
      <c r="D112" s="37"/>
      <c r="E112" s="37"/>
      <c r="F112" s="37"/>
      <c r="G112" s="70"/>
      <c r="H112" s="148" t="s">
        <v>445</v>
      </c>
      <c r="I112" s="149">
        <f t="shared" ref="I112:N112" si="21">I19+I50+I23+I36+I40+I45+I60+I78+I110</f>
        <v>88664021</v>
      </c>
      <c r="J112" s="149">
        <f t="shared" si="21"/>
        <v>0</v>
      </c>
      <c r="K112" s="149">
        <f t="shared" si="21"/>
        <v>0</v>
      </c>
      <c r="L112" s="149">
        <f t="shared" si="21"/>
        <v>0</v>
      </c>
      <c r="M112" s="149">
        <f t="shared" si="21"/>
        <v>0</v>
      </c>
      <c r="N112" s="149">
        <f t="shared" si="21"/>
        <v>0</v>
      </c>
      <c r="O112" s="144"/>
      <c r="P112" s="149">
        <f>P19+P50+P23+P36+P40+P45+P60+P78+P110</f>
        <v>13135775</v>
      </c>
      <c r="Q112" s="144"/>
      <c r="R112" s="149">
        <f t="shared" ref="R112:AC112" si="22">R19+R50+R23+R36+R40+R45+R60+R78+R110</f>
        <v>4162260</v>
      </c>
      <c r="S112" s="149">
        <f t="shared" si="22"/>
        <v>2557426</v>
      </c>
      <c r="T112" s="149">
        <f t="shared" si="22"/>
        <v>3875711</v>
      </c>
      <c r="U112" s="149">
        <f t="shared" si="22"/>
        <v>4027943</v>
      </c>
      <c r="V112" s="149">
        <f t="shared" si="22"/>
        <v>3476415</v>
      </c>
      <c r="W112" s="149">
        <f t="shared" si="22"/>
        <v>4918347</v>
      </c>
      <c r="X112" s="149">
        <f t="shared" si="22"/>
        <v>4603744</v>
      </c>
      <c r="Y112" s="149">
        <f t="shared" si="22"/>
        <v>4410037</v>
      </c>
      <c r="Z112" s="149">
        <f t="shared" si="22"/>
        <v>4490647</v>
      </c>
      <c r="AA112" s="149">
        <f t="shared" si="22"/>
        <v>5522504</v>
      </c>
      <c r="AB112" s="149">
        <f t="shared" si="22"/>
        <v>5210631</v>
      </c>
      <c r="AC112" s="149">
        <f t="shared" si="22"/>
        <v>4184930</v>
      </c>
      <c r="AD112" s="144"/>
      <c r="AE112" s="149">
        <f>AE19+AE50+AE23+AE36+AE40+AE45+AE60+AE78+AE110</f>
        <v>24087651</v>
      </c>
      <c r="AF112" s="149">
        <f>AF19+AF50+AF23+AF36+AF40+AF45+AF60+AF78+AF110</f>
        <v>0</v>
      </c>
      <c r="AG112" s="150"/>
      <c r="AH112" s="152">
        <f>SUM(P112:AG112)</f>
        <v>88664021</v>
      </c>
      <c r="AI112" s="153"/>
      <c r="AJ112" s="218">
        <f t="shared" si="19"/>
        <v>0</v>
      </c>
      <c r="AK112" s="55"/>
    </row>
    <row r="113" spans="3:36" s="90" customFormat="1" ht="15.75" x14ac:dyDescent="0.25">
      <c r="C113" s="122"/>
      <c r="D113" s="122"/>
      <c r="E113" s="122"/>
      <c r="F113" s="122"/>
      <c r="G113" s="123"/>
      <c r="H113" s="124" t="s">
        <v>405</v>
      </c>
      <c r="I113" s="125"/>
      <c r="J113" s="125"/>
      <c r="K113" s="125"/>
      <c r="L113" s="125"/>
      <c r="M113" s="125"/>
      <c r="N113" s="125"/>
      <c r="O113" s="126"/>
      <c r="P113" s="125">
        <v>14657045</v>
      </c>
      <c r="Q113" s="126"/>
      <c r="R113" s="128">
        <v>2798117.1428571427</v>
      </c>
      <c r="S113" s="128">
        <v>3206824.6428571427</v>
      </c>
      <c r="T113" s="128">
        <v>4008392.6428571427</v>
      </c>
      <c r="U113" s="128">
        <v>4318997.6428571427</v>
      </c>
      <c r="V113" s="128">
        <v>5069566.6428571418</v>
      </c>
      <c r="W113" s="128">
        <v>5575814.6428571418</v>
      </c>
      <c r="X113" s="128">
        <v>5314704.6428571418</v>
      </c>
      <c r="Y113" s="128">
        <v>5476840</v>
      </c>
      <c r="Z113" s="128">
        <v>5359959</v>
      </c>
      <c r="AA113" s="128">
        <v>6173564</v>
      </c>
      <c r="AB113" s="128">
        <v>5501722</v>
      </c>
      <c r="AC113" s="128">
        <v>3866535</v>
      </c>
      <c r="AD113" s="146"/>
      <c r="AE113" s="125">
        <v>16008105</v>
      </c>
      <c r="AF113" s="125"/>
      <c r="AG113" s="146"/>
      <c r="AH113" s="125"/>
      <c r="AI113" s="126"/>
      <c r="AJ113" s="273"/>
    </row>
    <row r="114" spans="3:36" ht="15.75" x14ac:dyDescent="0.25">
      <c r="G114" s="75"/>
      <c r="H114" s="38" t="s">
        <v>406</v>
      </c>
      <c r="I114" s="76"/>
      <c r="J114" s="76"/>
      <c r="K114" s="76"/>
      <c r="L114" s="76"/>
      <c r="M114" s="76"/>
      <c r="N114" s="76"/>
      <c r="O114" s="77"/>
      <c r="P114" s="128">
        <f>P112-P113</f>
        <v>-1521270</v>
      </c>
      <c r="Q114" s="126"/>
      <c r="R114" s="128">
        <f>R112-R113</f>
        <v>1364142.8571428573</v>
      </c>
      <c r="S114" s="128">
        <f t="shared" ref="S114:AC114" si="23">S112-S113</f>
        <v>-649398.64285714272</v>
      </c>
      <c r="T114" s="128">
        <f t="shared" si="23"/>
        <v>-132681.64285714272</v>
      </c>
      <c r="U114" s="128">
        <f t="shared" si="23"/>
        <v>-291054.64285714272</v>
      </c>
      <c r="V114" s="128">
        <f t="shared" si="23"/>
        <v>-1593151.6428571418</v>
      </c>
      <c r="W114" s="128">
        <f t="shared" si="23"/>
        <v>-657467.64285714179</v>
      </c>
      <c r="X114" s="128">
        <f t="shared" si="23"/>
        <v>-710960.64285714179</v>
      </c>
      <c r="Y114" s="128">
        <f t="shared" si="23"/>
        <v>-1066803</v>
      </c>
      <c r="Z114" s="128">
        <f t="shared" si="23"/>
        <v>-869312</v>
      </c>
      <c r="AA114" s="128">
        <f t="shared" si="23"/>
        <v>-651060</v>
      </c>
      <c r="AB114" s="128">
        <f t="shared" si="23"/>
        <v>-291091</v>
      </c>
      <c r="AC114" s="128">
        <f t="shared" si="23"/>
        <v>318395</v>
      </c>
      <c r="AD114" s="127"/>
      <c r="AE114" s="125"/>
      <c r="AF114" s="125"/>
      <c r="AG114" s="47"/>
      <c r="AH114" s="76"/>
      <c r="AI114" s="77"/>
      <c r="AJ114" s="273"/>
    </row>
    <row r="115" spans="3:36" ht="15.75" x14ac:dyDescent="0.25">
      <c r="Q115" s="132"/>
      <c r="R115" s="130"/>
      <c r="S115" s="130"/>
      <c r="T115" s="130"/>
      <c r="U115" s="133"/>
      <c r="V115" s="133"/>
      <c r="W115" s="133"/>
      <c r="X115" s="130"/>
      <c r="Y115" s="130"/>
      <c r="Z115" s="130"/>
      <c r="AA115" s="130"/>
      <c r="AB115" s="130"/>
      <c r="AC115" s="130"/>
      <c r="AD115" s="127"/>
      <c r="AE115" s="130"/>
      <c r="AF115" s="130"/>
      <c r="AG115" s="47"/>
      <c r="AJ115" s="274"/>
    </row>
    <row r="116" spans="3:36" ht="15.75" x14ac:dyDescent="0.25">
      <c r="H116" s="38" t="s">
        <v>407</v>
      </c>
      <c r="Q116" s="132"/>
      <c r="R116" s="136">
        <v>2897650</v>
      </c>
      <c r="S116" s="136">
        <v>3085444</v>
      </c>
      <c r="T116" s="136">
        <v>3369732</v>
      </c>
      <c r="U116" s="133"/>
      <c r="V116" s="133"/>
      <c r="W116" s="133"/>
      <c r="X116" s="130"/>
      <c r="Y116" s="130"/>
      <c r="Z116" s="130"/>
      <c r="AA116" s="130"/>
      <c r="AB116" s="130"/>
      <c r="AC116" s="130"/>
      <c r="AD116" s="127"/>
      <c r="AE116" s="130"/>
      <c r="AF116" s="130"/>
      <c r="AG116" s="47"/>
      <c r="AJ116" s="274"/>
    </row>
    <row r="117" spans="3:36" ht="15.75" x14ac:dyDescent="0.25">
      <c r="H117" s="38" t="s">
        <v>408</v>
      </c>
      <c r="Q117" s="132"/>
      <c r="R117" s="130">
        <f>(R113*0.9)*0.887</f>
        <v>2233736.915142857</v>
      </c>
      <c r="S117" s="130">
        <f t="shared" ref="S117:AE117" si="24">(S113*0.9)*0.887</f>
        <v>2560008.1123928572</v>
      </c>
      <c r="T117" s="130">
        <f t="shared" si="24"/>
        <v>3199899.8467928572</v>
      </c>
      <c r="U117" s="130">
        <f t="shared" si="24"/>
        <v>3447855.8182928571</v>
      </c>
      <c r="V117" s="130">
        <f t="shared" si="24"/>
        <v>4047035.0509928567</v>
      </c>
      <c r="W117" s="130">
        <f t="shared" si="24"/>
        <v>4451172.8293928569</v>
      </c>
      <c r="X117" s="130">
        <f t="shared" si="24"/>
        <v>4242728.716392857</v>
      </c>
      <c r="Y117" s="130">
        <f t="shared" si="24"/>
        <v>4372161.3720000004</v>
      </c>
      <c r="Z117" s="130">
        <f t="shared" si="24"/>
        <v>4278855.269700001</v>
      </c>
      <c r="AA117" s="130">
        <f t="shared" si="24"/>
        <v>4928356.1412000004</v>
      </c>
      <c r="AB117" s="130">
        <f t="shared" si="24"/>
        <v>4392024.6726000002</v>
      </c>
      <c r="AC117" s="130">
        <f t="shared" si="24"/>
        <v>3086654.8905000002</v>
      </c>
      <c r="AD117" s="127"/>
      <c r="AE117" s="130">
        <f t="shared" si="24"/>
        <v>12779270.2215</v>
      </c>
      <c r="AF117" s="130"/>
      <c r="AG117" s="47"/>
      <c r="AJ117" s="274"/>
    </row>
    <row r="118" spans="3:36" ht="15.75" x14ac:dyDescent="0.25">
      <c r="H118" s="38" t="s">
        <v>406</v>
      </c>
      <c r="Q118" s="132"/>
      <c r="R118" s="130">
        <f>R116-R117</f>
        <v>663913.084857143</v>
      </c>
      <c r="S118" s="130">
        <f>S116-S117</f>
        <v>525435.88760714279</v>
      </c>
      <c r="T118" s="130">
        <f>T116-T117</f>
        <v>169832.15320714284</v>
      </c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27"/>
      <c r="AE118" s="130"/>
      <c r="AF118" s="130"/>
      <c r="AG118" s="47"/>
      <c r="AJ118" s="274"/>
    </row>
    <row r="119" spans="3:36" ht="15.75" x14ac:dyDescent="0.25">
      <c r="Q119" s="132"/>
      <c r="R119" s="130"/>
      <c r="S119" s="130"/>
      <c r="T119" s="130"/>
      <c r="U119" s="133"/>
      <c r="V119" s="133"/>
      <c r="W119" s="133"/>
      <c r="X119" s="130"/>
      <c r="Y119" s="130"/>
      <c r="Z119" s="130"/>
      <c r="AA119" s="130"/>
      <c r="AB119" s="130"/>
      <c r="AC119" s="130"/>
      <c r="AD119" s="127"/>
      <c r="AE119" s="130"/>
      <c r="AF119" s="130"/>
      <c r="AG119" s="47"/>
      <c r="AJ119" s="274"/>
    </row>
    <row r="120" spans="3:36" ht="15.75" x14ac:dyDescent="0.25">
      <c r="H120" s="38" t="s">
        <v>409</v>
      </c>
      <c r="Q120" s="132"/>
      <c r="R120" s="136">
        <v>261214</v>
      </c>
      <c r="S120" s="136">
        <v>325090</v>
      </c>
      <c r="T120" s="136">
        <v>157521</v>
      </c>
      <c r="U120" s="133"/>
      <c r="V120" s="133"/>
      <c r="W120" s="133"/>
      <c r="X120" s="130"/>
      <c r="Y120" s="130"/>
      <c r="Z120" s="130"/>
      <c r="AA120" s="130"/>
      <c r="AB120" s="130"/>
      <c r="AC120" s="130"/>
      <c r="AD120" s="127"/>
      <c r="AE120" s="130"/>
      <c r="AF120" s="130"/>
      <c r="AG120" s="47"/>
      <c r="AJ120" s="274"/>
    </row>
    <row r="121" spans="3:36" ht="15.75" x14ac:dyDescent="0.25">
      <c r="H121" s="38" t="s">
        <v>410</v>
      </c>
      <c r="Q121" s="132"/>
      <c r="R121" s="130">
        <f t="shared" ref="R121:AC121" si="25">(R113*0.877)*0.1</f>
        <v>245394.87342857142</v>
      </c>
      <c r="S121" s="130">
        <f t="shared" si="25"/>
        <v>281238.52117857145</v>
      </c>
      <c r="T121" s="130">
        <f t="shared" si="25"/>
        <v>351536.03477857145</v>
      </c>
      <c r="U121" s="130">
        <f t="shared" si="25"/>
        <v>378776.09327857144</v>
      </c>
      <c r="V121" s="130">
        <f t="shared" si="25"/>
        <v>444600.99457857135</v>
      </c>
      <c r="W121" s="130">
        <f t="shared" si="25"/>
        <v>488998.9441785714</v>
      </c>
      <c r="X121" s="130">
        <f t="shared" si="25"/>
        <v>466099.59717857133</v>
      </c>
      <c r="Y121" s="130">
        <f t="shared" si="25"/>
        <v>480318.86800000002</v>
      </c>
      <c r="Z121" s="130">
        <f t="shared" si="25"/>
        <v>470068.40429999999</v>
      </c>
      <c r="AA121" s="130">
        <f t="shared" si="25"/>
        <v>541421.56279999996</v>
      </c>
      <c r="AB121" s="130">
        <f t="shared" si="25"/>
        <v>482501.01940000005</v>
      </c>
      <c r="AC121" s="130">
        <f t="shared" si="25"/>
        <v>339095.11950000003</v>
      </c>
      <c r="AD121" s="127"/>
      <c r="AE121" s="130">
        <f>(AE113*0.877)*0.1</f>
        <v>1403910.8085000003</v>
      </c>
      <c r="AF121" s="130"/>
      <c r="AG121" s="47"/>
      <c r="AJ121" s="274"/>
    </row>
    <row r="122" spans="3:36" ht="15.75" x14ac:dyDescent="0.25">
      <c r="G122" s="75"/>
      <c r="H122" s="38" t="s">
        <v>406</v>
      </c>
      <c r="I122" s="76"/>
      <c r="J122" s="76"/>
      <c r="K122" s="76"/>
      <c r="L122" s="76"/>
      <c r="M122" s="76"/>
      <c r="N122" s="76"/>
      <c r="O122" s="77"/>
      <c r="P122" s="125"/>
      <c r="Q122" s="126"/>
      <c r="R122" s="128">
        <f>R120-R121</f>
        <v>15819.126571428584</v>
      </c>
      <c r="S122" s="128">
        <f>S120-S121</f>
        <v>43851.478821428551</v>
      </c>
      <c r="T122" s="128">
        <f>T120-T121</f>
        <v>-194015.03477857145</v>
      </c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7"/>
      <c r="AE122" s="125"/>
      <c r="AF122" s="125"/>
      <c r="AG122" s="47"/>
      <c r="AH122" s="76"/>
      <c r="AI122" s="77"/>
      <c r="AJ122" s="273"/>
    </row>
    <row r="123" spans="3:36" ht="15.75" x14ac:dyDescent="0.25">
      <c r="G123" s="75"/>
      <c r="I123" s="76"/>
      <c r="J123" s="76"/>
      <c r="K123" s="76"/>
      <c r="L123" s="76"/>
      <c r="M123" s="76"/>
      <c r="N123" s="76"/>
      <c r="O123" s="77"/>
      <c r="P123" s="125"/>
      <c r="Q123" s="126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7"/>
      <c r="AE123" s="125"/>
      <c r="AF123" s="125"/>
      <c r="AG123" s="47"/>
      <c r="AH123" s="76"/>
      <c r="AI123" s="77"/>
      <c r="AJ123" s="273"/>
    </row>
    <row r="124" spans="3:36" ht="15.75" x14ac:dyDescent="0.25">
      <c r="G124" s="75"/>
      <c r="H124" s="38" t="s">
        <v>411</v>
      </c>
      <c r="I124" s="76"/>
      <c r="J124" s="76"/>
      <c r="K124" s="76"/>
      <c r="L124" s="76"/>
      <c r="M124" s="76"/>
      <c r="N124" s="76"/>
      <c r="O124" s="77"/>
      <c r="P124" s="125"/>
      <c r="Q124" s="126"/>
      <c r="R124" s="139">
        <v>9.01E-2</v>
      </c>
      <c r="S124" s="139">
        <v>0.10539999999999999</v>
      </c>
      <c r="T124" s="139">
        <v>4.6699999999999998E-2</v>
      </c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27"/>
      <c r="AE124" s="125"/>
      <c r="AF124" s="125"/>
      <c r="AG124" s="47"/>
      <c r="AH124" s="76"/>
      <c r="AI124" s="77"/>
      <c r="AJ124" s="273"/>
    </row>
    <row r="125" spans="3:36" ht="15.75" x14ac:dyDescent="0.25">
      <c r="G125" s="75"/>
      <c r="H125" s="38" t="s">
        <v>412</v>
      </c>
      <c r="I125" s="76"/>
      <c r="J125" s="76"/>
      <c r="K125" s="76"/>
      <c r="L125" s="76"/>
      <c r="M125" s="76"/>
      <c r="N125" s="76"/>
      <c r="O125" s="77"/>
      <c r="P125" s="125"/>
      <c r="Q125" s="126"/>
      <c r="R125" s="137">
        <v>0.1</v>
      </c>
      <c r="S125" s="137">
        <v>0.1</v>
      </c>
      <c r="T125" s="137">
        <v>0.1</v>
      </c>
      <c r="U125" s="137">
        <v>0.1</v>
      </c>
      <c r="V125" s="137">
        <v>0.1</v>
      </c>
      <c r="W125" s="137">
        <v>0.1</v>
      </c>
      <c r="X125" s="137">
        <v>0.1</v>
      </c>
      <c r="Y125" s="137">
        <v>0.1</v>
      </c>
      <c r="Z125" s="137">
        <v>0.1</v>
      </c>
      <c r="AA125" s="137">
        <v>0.1</v>
      </c>
      <c r="AB125" s="137">
        <v>0.1</v>
      </c>
      <c r="AC125" s="137">
        <v>0.1</v>
      </c>
      <c r="AD125" s="127"/>
      <c r="AE125" s="137">
        <v>0.1</v>
      </c>
      <c r="AF125" s="125"/>
      <c r="AG125" s="47"/>
      <c r="AH125" s="76"/>
      <c r="AI125" s="77"/>
      <c r="AJ125" s="273"/>
    </row>
    <row r="126" spans="3:36" ht="15.75" x14ac:dyDescent="0.25">
      <c r="G126" s="75"/>
      <c r="H126" s="38" t="s">
        <v>406</v>
      </c>
      <c r="I126" s="76"/>
      <c r="J126" s="76"/>
      <c r="K126" s="76"/>
      <c r="L126" s="76"/>
      <c r="M126" s="76"/>
      <c r="N126" s="76"/>
      <c r="O126" s="77"/>
      <c r="P126" s="125"/>
      <c r="Q126" s="126"/>
      <c r="R126" s="138">
        <f>R124-R125</f>
        <v>-9.900000000000006E-3</v>
      </c>
      <c r="S126" s="138">
        <f>S124-S125</f>
        <v>5.3999999999999881E-3</v>
      </c>
      <c r="T126" s="138">
        <f>T124-T125</f>
        <v>-5.3300000000000007E-2</v>
      </c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27"/>
      <c r="AE126" s="125"/>
      <c r="AF126" s="125"/>
      <c r="AG126" s="47"/>
      <c r="AH126" s="76"/>
      <c r="AI126" s="77"/>
      <c r="AJ126" s="273"/>
    </row>
    <row r="127" spans="3:36" ht="15.75" x14ac:dyDescent="0.25">
      <c r="Q127" s="132"/>
      <c r="R127" s="130"/>
      <c r="S127" s="130"/>
      <c r="T127" s="130"/>
      <c r="U127" s="133"/>
      <c r="V127" s="133"/>
      <c r="W127" s="133"/>
      <c r="X127" s="130"/>
      <c r="Y127" s="130"/>
      <c r="Z127" s="130"/>
      <c r="AA127" s="130"/>
      <c r="AB127" s="130"/>
      <c r="AC127" s="130"/>
      <c r="AD127" s="127"/>
      <c r="AE127" s="130"/>
      <c r="AF127" s="130"/>
      <c r="AG127" s="47"/>
      <c r="AJ127" s="274"/>
    </row>
    <row r="128" spans="3:36" ht="15.75" x14ac:dyDescent="0.25">
      <c r="H128" s="38" t="s">
        <v>413</v>
      </c>
      <c r="Q128" s="132"/>
      <c r="R128" s="140">
        <v>256248</v>
      </c>
      <c r="S128" s="201">
        <v>250107</v>
      </c>
      <c r="T128" s="202">
        <v>305940</v>
      </c>
      <c r="U128" s="131"/>
      <c r="V128" s="133"/>
      <c r="W128" s="133"/>
      <c r="X128" s="130"/>
      <c r="Y128" s="130"/>
      <c r="Z128" s="130"/>
      <c r="AA128" s="130"/>
      <c r="AB128" s="130"/>
      <c r="AC128" s="130"/>
      <c r="AD128" s="127"/>
      <c r="AE128" s="130"/>
      <c r="AF128" s="130"/>
      <c r="AG128" s="47"/>
      <c r="AJ128" s="274"/>
    </row>
    <row r="129" spans="1:36" ht="15.75" x14ac:dyDescent="0.25">
      <c r="H129" s="38" t="s">
        <v>414</v>
      </c>
      <c r="Q129" s="132"/>
      <c r="R129" s="131">
        <v>275000</v>
      </c>
      <c r="S129" s="131">
        <v>275000</v>
      </c>
      <c r="T129" s="131">
        <v>275000</v>
      </c>
      <c r="U129" s="131">
        <v>293000</v>
      </c>
      <c r="V129" s="131">
        <v>293000</v>
      </c>
      <c r="W129" s="131">
        <v>293000</v>
      </c>
      <c r="X129" s="131">
        <v>300000</v>
      </c>
      <c r="Y129" s="131">
        <v>300000</v>
      </c>
      <c r="Z129" s="131">
        <v>300000</v>
      </c>
      <c r="AA129" s="131">
        <v>300000</v>
      </c>
      <c r="AB129" s="131">
        <v>300000</v>
      </c>
      <c r="AC129" s="131">
        <v>300000</v>
      </c>
      <c r="AD129" s="127"/>
      <c r="AE129" s="131">
        <v>300000</v>
      </c>
      <c r="AF129" s="130"/>
      <c r="AG129" s="47"/>
      <c r="AJ129" s="274"/>
    </row>
    <row r="130" spans="1:36" ht="15.75" x14ac:dyDescent="0.25">
      <c r="G130" s="75"/>
      <c r="H130" s="38" t="s">
        <v>406</v>
      </c>
      <c r="I130" s="76"/>
      <c r="J130" s="76"/>
      <c r="K130" s="76"/>
      <c r="L130" s="76"/>
      <c r="M130" s="76"/>
      <c r="N130" s="76"/>
      <c r="O130" s="77"/>
      <c r="P130" s="125"/>
      <c r="Q130" s="126"/>
      <c r="R130" s="128">
        <f>R129-R128</f>
        <v>18752</v>
      </c>
      <c r="S130" s="128">
        <f>S129-S128</f>
        <v>24893</v>
      </c>
      <c r="T130" s="128">
        <f>T129-T128</f>
        <v>-30940</v>
      </c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7"/>
      <c r="AE130" s="125"/>
      <c r="AF130" s="125"/>
      <c r="AG130" s="47"/>
      <c r="AH130" s="76"/>
      <c r="AI130" s="77"/>
      <c r="AJ130" s="90"/>
    </row>
    <row r="131" spans="1:36" ht="15.75" x14ac:dyDescent="0.25">
      <c r="Q131" s="132"/>
      <c r="R131" s="131"/>
      <c r="S131" s="134"/>
      <c r="T131" s="135"/>
      <c r="U131" s="131"/>
      <c r="V131" s="133"/>
      <c r="W131" s="133"/>
      <c r="X131" s="130"/>
      <c r="Y131" s="130"/>
      <c r="Z131" s="130"/>
      <c r="AA131" s="130"/>
      <c r="AB131" s="130"/>
      <c r="AC131" s="130"/>
      <c r="AD131" s="127"/>
      <c r="AE131" s="130"/>
      <c r="AF131" s="130"/>
      <c r="AG131" s="47"/>
    </row>
    <row r="132" spans="1:36" s="78" customFormat="1" ht="15.75" x14ac:dyDescent="0.25">
      <c r="A132"/>
      <c r="B132"/>
      <c r="C132" s="74"/>
      <c r="D132" s="74"/>
      <c r="E132" s="74"/>
      <c r="F132" s="74"/>
      <c r="G132" s="74"/>
      <c r="H132" s="38"/>
      <c r="O132" s="79"/>
      <c r="P132" s="130"/>
      <c r="Q132" s="132"/>
      <c r="R132" s="131"/>
      <c r="S132" s="134"/>
      <c r="T132" s="135"/>
      <c r="U132" s="131"/>
      <c r="V132" s="133"/>
      <c r="W132" s="133"/>
      <c r="X132" s="130"/>
      <c r="Y132" s="130"/>
      <c r="Z132" s="130"/>
      <c r="AA132" s="130"/>
      <c r="AB132" s="130"/>
      <c r="AC132" s="130"/>
      <c r="AD132" s="127"/>
      <c r="AE132" s="130"/>
      <c r="AF132" s="130"/>
      <c r="AG132" s="47"/>
      <c r="AI132" s="79"/>
      <c r="AJ132"/>
    </row>
    <row r="133" spans="1:36" s="78" customFormat="1" ht="15.75" x14ac:dyDescent="0.25">
      <c r="A133"/>
      <c r="B133"/>
      <c r="C133" s="74"/>
      <c r="D133" s="74"/>
      <c r="E133" s="74"/>
      <c r="F133" s="74"/>
      <c r="G133" s="74"/>
      <c r="H133" s="38" t="s">
        <v>415</v>
      </c>
      <c r="O133" s="79"/>
      <c r="P133" s="130"/>
      <c r="Q133" s="132"/>
      <c r="R133" s="140">
        <v>4126</v>
      </c>
      <c r="S133" s="201">
        <v>74711</v>
      </c>
      <c r="T133" s="202">
        <v>-101036</v>
      </c>
      <c r="U133" s="131"/>
      <c r="V133" s="133"/>
      <c r="W133" s="133"/>
      <c r="X133" s="130"/>
      <c r="Y133" s="130"/>
      <c r="Z133" s="130"/>
      <c r="AA133" s="130"/>
      <c r="AB133" s="130"/>
      <c r="AC133" s="130"/>
      <c r="AD133" s="127"/>
      <c r="AE133" s="130"/>
      <c r="AF133" s="130"/>
      <c r="AG133" s="47"/>
      <c r="AI133" s="79"/>
      <c r="AJ133"/>
    </row>
    <row r="134" spans="1:36" s="78" customFormat="1" ht="15.75" x14ac:dyDescent="0.25">
      <c r="A134"/>
      <c r="B134"/>
      <c r="C134" s="74"/>
      <c r="D134" s="74"/>
      <c r="E134" s="74"/>
      <c r="F134" s="74"/>
      <c r="G134" s="74"/>
      <c r="H134" s="38" t="s">
        <v>416</v>
      </c>
      <c r="O134" s="79"/>
      <c r="P134" s="130"/>
      <c r="Q134" s="132"/>
      <c r="R134" s="131">
        <f>R121*0.1</f>
        <v>24539.487342857145</v>
      </c>
      <c r="S134" s="131">
        <f>S121*0.1</f>
        <v>28123.852117857146</v>
      </c>
      <c r="T134" s="131">
        <f>T121*0.1</f>
        <v>35153.603477857148</v>
      </c>
      <c r="U134" s="131">
        <f>U121*0.1</f>
        <v>37877.609327857142</v>
      </c>
      <c r="V134" s="131">
        <f t="shared" ref="V134:AB134" si="26">V121*0.1</f>
        <v>44460.099457857141</v>
      </c>
      <c r="W134" s="131">
        <f>W121*0.1</f>
        <v>48899.89441785714</v>
      </c>
      <c r="X134" s="131">
        <f t="shared" si="26"/>
        <v>46609.959717857135</v>
      </c>
      <c r="Y134" s="131">
        <f t="shared" si="26"/>
        <v>48031.886800000007</v>
      </c>
      <c r="Z134" s="131">
        <f t="shared" si="26"/>
        <v>47006.840430000004</v>
      </c>
      <c r="AA134" s="131">
        <f t="shared" si="26"/>
        <v>54142.156279999996</v>
      </c>
      <c r="AB134" s="131">
        <f t="shared" si="26"/>
        <v>48250.101940000008</v>
      </c>
      <c r="AC134" s="131">
        <f>AC121*0.1+2995</f>
        <v>36904.511950000007</v>
      </c>
      <c r="AD134" s="127"/>
      <c r="AE134" s="130">
        <f>SUM(R134:AC134)</f>
        <v>500000.00326000003</v>
      </c>
      <c r="AF134" s="130"/>
      <c r="AG134" s="47"/>
      <c r="AI134" s="79"/>
      <c r="AJ134"/>
    </row>
    <row r="135" spans="1:36" ht="15.75" x14ac:dyDescent="0.25">
      <c r="G135" s="75"/>
      <c r="H135" s="38" t="s">
        <v>406</v>
      </c>
      <c r="I135" s="76"/>
      <c r="J135" s="76"/>
      <c r="K135" s="76"/>
      <c r="L135" s="76"/>
      <c r="M135" s="76"/>
      <c r="N135" s="76"/>
      <c r="O135" s="77"/>
      <c r="P135" s="125"/>
      <c r="Q135" s="126"/>
      <c r="R135" s="128">
        <f>R133-R134</f>
        <v>-20413.487342857145</v>
      </c>
      <c r="S135" s="128">
        <f>S133-S134</f>
        <v>46587.147882142854</v>
      </c>
      <c r="T135" s="128">
        <f>T133-T134</f>
        <v>-136189.60347785713</v>
      </c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7"/>
      <c r="AE135" s="125"/>
      <c r="AF135" s="125"/>
      <c r="AG135" s="47"/>
      <c r="AH135" s="76"/>
      <c r="AI135" s="77"/>
      <c r="AJ135" s="90"/>
    </row>
    <row r="136" spans="1:36" s="78" customFormat="1" ht="15.75" x14ac:dyDescent="0.25">
      <c r="A136"/>
      <c r="B136"/>
      <c r="C136" s="74"/>
      <c r="D136" s="74"/>
      <c r="E136" s="74"/>
      <c r="F136" s="74"/>
      <c r="G136" s="74"/>
      <c r="H136" s="38"/>
      <c r="O136" s="79"/>
      <c r="P136" s="130"/>
      <c r="Q136" s="132"/>
      <c r="R136" s="131"/>
      <c r="S136" s="134"/>
      <c r="T136" s="135"/>
      <c r="U136" s="131"/>
      <c r="V136" s="133"/>
      <c r="W136" s="133"/>
      <c r="X136" s="130"/>
      <c r="Y136" s="130"/>
      <c r="Z136" s="130"/>
      <c r="AA136" s="130"/>
      <c r="AB136" s="130"/>
      <c r="AC136" s="130"/>
      <c r="AD136" s="132"/>
      <c r="AE136" s="130"/>
      <c r="AF136" s="130"/>
      <c r="AG136" s="47"/>
      <c r="AI136" s="79"/>
      <c r="AJ136"/>
    </row>
    <row r="137" spans="1:36" s="78" customFormat="1" ht="15.75" x14ac:dyDescent="0.25">
      <c r="A137"/>
      <c r="B137"/>
      <c r="C137" s="74"/>
      <c r="D137" s="74"/>
      <c r="E137" s="74"/>
      <c r="F137" s="74"/>
      <c r="G137" s="74"/>
      <c r="H137" s="38"/>
      <c r="O137" s="79"/>
      <c r="P137" s="130"/>
      <c r="Q137" s="79"/>
      <c r="R137" s="80"/>
      <c r="S137" s="3"/>
      <c r="T137" s="8"/>
      <c r="U137" s="80"/>
      <c r="V137" s="81"/>
      <c r="W137" s="81"/>
      <c r="AD137" s="79"/>
      <c r="AG137" s="47"/>
      <c r="AI137" s="79"/>
      <c r="AJ137"/>
    </row>
    <row r="138" spans="1:36" s="78" customFormat="1" ht="15.75" x14ac:dyDescent="0.25">
      <c r="A138"/>
      <c r="B138"/>
      <c r="C138" s="74"/>
      <c r="D138" s="74"/>
      <c r="E138" s="74"/>
      <c r="F138" s="74"/>
      <c r="G138" s="74"/>
      <c r="H138" s="38"/>
      <c r="O138" s="79"/>
      <c r="P138" s="130"/>
      <c r="Q138" s="79"/>
      <c r="R138" s="80"/>
      <c r="S138" s="3"/>
      <c r="T138" s="8"/>
      <c r="U138" s="80"/>
      <c r="V138" s="81"/>
      <c r="W138" s="81"/>
      <c r="AD138" s="79"/>
      <c r="AG138" s="47"/>
      <c r="AI138" s="79"/>
      <c r="AJ138"/>
    </row>
    <row r="139" spans="1:36" s="78" customFormat="1" ht="15.75" x14ac:dyDescent="0.25">
      <c r="A139"/>
      <c r="B139"/>
      <c r="C139" s="74"/>
      <c r="D139" s="74"/>
      <c r="E139" s="74"/>
      <c r="F139" s="74"/>
      <c r="G139" s="74"/>
      <c r="H139" s="38"/>
      <c r="O139" s="79"/>
      <c r="P139" s="130"/>
      <c r="Q139" s="79"/>
      <c r="R139" s="80"/>
      <c r="S139" s="3"/>
      <c r="T139" s="8"/>
      <c r="U139" s="80"/>
      <c r="V139" s="81"/>
      <c r="W139" s="81"/>
      <c r="AD139" s="79"/>
      <c r="AG139" s="47"/>
      <c r="AI139" s="79"/>
      <c r="AJ139"/>
    </row>
    <row r="140" spans="1:36" s="78" customFormat="1" ht="15.75" x14ac:dyDescent="0.25">
      <c r="A140"/>
      <c r="B140"/>
      <c r="C140" s="74"/>
      <c r="D140" s="74"/>
      <c r="E140" s="74"/>
      <c r="F140" s="74"/>
      <c r="G140" s="74"/>
      <c r="H140" s="38"/>
      <c r="O140" s="79"/>
      <c r="P140" s="130"/>
      <c r="Q140" s="79"/>
      <c r="R140" s="80"/>
      <c r="S140" s="3"/>
      <c r="T140" s="8"/>
      <c r="U140" s="80"/>
      <c r="V140" s="81"/>
      <c r="W140" s="81"/>
      <c r="AD140" s="79"/>
      <c r="AG140" s="47"/>
      <c r="AI140" s="79"/>
      <c r="AJ140"/>
    </row>
    <row r="141" spans="1:36" s="78" customFormat="1" ht="15.75" x14ac:dyDescent="0.25">
      <c r="A141"/>
      <c r="B141"/>
      <c r="C141" s="74"/>
      <c r="D141" s="74"/>
      <c r="E141" s="74"/>
      <c r="F141" s="74"/>
      <c r="G141" s="74"/>
      <c r="H141" s="38"/>
      <c r="O141" s="79"/>
      <c r="P141" s="130"/>
      <c r="Q141" s="79"/>
      <c r="R141" s="80"/>
      <c r="S141" s="3"/>
      <c r="T141" s="8"/>
      <c r="U141" s="80"/>
      <c r="V141" s="81"/>
      <c r="W141" s="81"/>
      <c r="AD141" s="79"/>
      <c r="AG141" s="47"/>
      <c r="AI141" s="79"/>
      <c r="AJ141"/>
    </row>
    <row r="142" spans="1:36" s="78" customFormat="1" ht="15.75" x14ac:dyDescent="0.25">
      <c r="A142"/>
      <c r="B142"/>
      <c r="C142" s="74"/>
      <c r="D142" s="74"/>
      <c r="E142" s="74"/>
      <c r="F142" s="74"/>
      <c r="G142" s="74"/>
      <c r="H142" s="38"/>
      <c r="O142" s="79"/>
      <c r="P142" s="130"/>
      <c r="Q142" s="79"/>
      <c r="R142" s="80"/>
      <c r="S142" s="3"/>
      <c r="T142" s="8"/>
      <c r="U142" s="80"/>
      <c r="V142" s="81"/>
      <c r="W142" s="81"/>
      <c r="AD142" s="79"/>
      <c r="AG142" s="79"/>
      <c r="AI142" s="79"/>
      <c r="AJ142"/>
    </row>
    <row r="143" spans="1:36" s="78" customFormat="1" x14ac:dyDescent="0.25">
      <c r="A143"/>
      <c r="B143"/>
      <c r="C143" s="74"/>
      <c r="D143" s="74"/>
      <c r="E143" s="74"/>
      <c r="F143" s="74"/>
      <c r="G143" s="74"/>
      <c r="H143" s="38"/>
      <c r="O143" s="79"/>
      <c r="P143" s="130"/>
      <c r="Q143" s="79"/>
      <c r="R143" s="80"/>
      <c r="S143" s="80"/>
      <c r="T143" s="80"/>
      <c r="U143" s="80"/>
      <c r="V143" s="81"/>
      <c r="W143" s="81"/>
      <c r="AD143" s="79"/>
      <c r="AG143" s="79"/>
      <c r="AI143" s="79"/>
      <c r="AJ143"/>
    </row>
  </sheetData>
  <sortState xmlns:xlrd2="http://schemas.microsoft.com/office/spreadsheetml/2017/richdata2" ref="A54:AK57">
    <sortCondition ref="A54:A57"/>
  </sortState>
  <mergeCells count="1">
    <mergeCell ref="R1:AC1"/>
  </mergeCells>
  <phoneticPr fontId="5" type="noConversion"/>
  <conditionalFormatting sqref="AH80 AH112 AH63:AH78 AH25:AH28 AH32 AH83:AH110 AH38:AH39 AH4:AH19 AH48:AH50 AH21:AH22 AH52:AH59 AH45">
    <cfRule type="cellIs" dxfId="1892" priority="137" operator="lessThan">
      <formula>I4</formula>
    </cfRule>
    <cfRule type="cellIs" dxfId="1891" priority="138" operator="greaterThan">
      <formula>I4</formula>
    </cfRule>
    <cfRule type="cellIs" dxfId="1890" priority="139" operator="equal">
      <formula>I4</formula>
    </cfRule>
  </conditionalFormatting>
  <conditionalFormatting sqref="AH31:AH33 AH35">
    <cfRule type="cellIs" dxfId="1889" priority="133" operator="greaterThan">
      <formula>$I$31</formula>
    </cfRule>
    <cfRule type="cellIs" dxfId="1888" priority="134" operator="lessThan">
      <formula>$I$31</formula>
    </cfRule>
    <cfRule type="cellIs" dxfId="1887" priority="135" operator="equal">
      <formula>$I$31</formula>
    </cfRule>
    <cfRule type="cellIs" dxfId="1886" priority="136" operator="equal">
      <formula>$P$31</formula>
    </cfRule>
  </conditionalFormatting>
  <conditionalFormatting sqref="E61 E127:E129 E131:E134 E136:E1048576 E63:E65 E24 E67:E80 E83:E121 E21:E22 E26:E39 E1:E19 E46:E59">
    <cfRule type="cellIs" dxfId="1885" priority="131" operator="equal">
      <formula>"no"</formula>
    </cfRule>
    <cfRule type="cellIs" dxfId="1884" priority="132" operator="equal">
      <formula>"yes"</formula>
    </cfRule>
  </conditionalFormatting>
  <conditionalFormatting sqref="E25">
    <cfRule type="cellIs" dxfId="1883" priority="129" operator="equal">
      <formula>"no"</formula>
    </cfRule>
    <cfRule type="cellIs" dxfId="1882" priority="130" operator="equal">
      <formula>"yes"</formula>
    </cfRule>
  </conditionalFormatting>
  <conditionalFormatting sqref="E66">
    <cfRule type="cellIs" dxfId="1881" priority="127" operator="equal">
      <formula>"no"</formula>
    </cfRule>
    <cfRule type="cellIs" dxfId="1880" priority="128" operator="equal">
      <formula>"yes"</formula>
    </cfRule>
  </conditionalFormatting>
  <conditionalFormatting sqref="I96:I109 I63:I77 I31:I35 I52 I83:I91 I38:I39 I54:I59 I21:I22 I4:I18 I80:I81">
    <cfRule type="cellIs" dxfId="1879" priority="126" operator="equal">
      <formula>0</formula>
    </cfRule>
  </conditionalFormatting>
  <conditionalFormatting sqref="I47:I49">
    <cfRule type="cellIs" dxfId="1878" priority="125" operator="equal">
      <formula>0</formula>
    </cfRule>
  </conditionalFormatting>
  <conditionalFormatting sqref="AH47">
    <cfRule type="cellIs" dxfId="1877" priority="122" operator="lessThan">
      <formula>I47</formula>
    </cfRule>
    <cfRule type="cellIs" dxfId="1876" priority="123" operator="greaterThan">
      <formula>I47</formula>
    </cfRule>
    <cfRule type="cellIs" dxfId="1875" priority="124" operator="equal">
      <formula>I47</formula>
    </cfRule>
  </conditionalFormatting>
  <conditionalFormatting sqref="D127:D129 D131:D134 D136:D1048576 D63:D80 D83:D121 D21:D22 D61 D24:D39 D1:D19 D46:D59">
    <cfRule type="cellIs" dxfId="1874" priority="116" operator="equal">
      <formula>"TBD"</formula>
    </cfRule>
  </conditionalFormatting>
  <conditionalFormatting sqref="R114:AC114">
    <cfRule type="cellIs" dxfId="1873" priority="93" operator="equal">
      <formula>0</formula>
    </cfRule>
    <cfRule type="cellIs" dxfId="1872" priority="114" operator="lessThan">
      <formula>0</formula>
    </cfRule>
    <cfRule type="cellIs" dxfId="1871" priority="115" operator="greaterThan">
      <formula>0</formula>
    </cfRule>
  </conditionalFormatting>
  <conditionalFormatting sqref="E122:E126">
    <cfRule type="cellIs" dxfId="1870" priority="112" operator="equal">
      <formula>"no"</formula>
    </cfRule>
    <cfRule type="cellIs" dxfId="1869" priority="113" operator="equal">
      <formula>"yes"</formula>
    </cfRule>
  </conditionalFormatting>
  <conditionalFormatting sqref="D122:D126">
    <cfRule type="cellIs" dxfId="1868" priority="111" operator="equal">
      <formula>"TBD"</formula>
    </cfRule>
  </conditionalFormatting>
  <conditionalFormatting sqref="R122:AC123">
    <cfRule type="cellIs" dxfId="1867" priority="109" operator="lessThan">
      <formula>0</formula>
    </cfRule>
    <cfRule type="cellIs" dxfId="1866" priority="110" operator="greaterThan">
      <formula>0</formula>
    </cfRule>
  </conditionalFormatting>
  <conditionalFormatting sqref="E130">
    <cfRule type="cellIs" dxfId="1865" priority="107" operator="equal">
      <formula>"no"</formula>
    </cfRule>
    <cfRule type="cellIs" dxfId="1864" priority="108" operator="equal">
      <formula>"yes"</formula>
    </cfRule>
  </conditionalFormatting>
  <conditionalFormatting sqref="D130">
    <cfRule type="cellIs" dxfId="1863" priority="106" operator="equal">
      <formula>"TBD"</formula>
    </cfRule>
  </conditionalFormatting>
  <conditionalFormatting sqref="R130:AC130">
    <cfRule type="cellIs" dxfId="1862" priority="104" operator="lessThan">
      <formula>0</formula>
    </cfRule>
    <cfRule type="cellIs" dxfId="1861" priority="105" operator="greaterThan">
      <formula>0</formula>
    </cfRule>
  </conditionalFormatting>
  <conditionalFormatting sqref="E135">
    <cfRule type="cellIs" dxfId="1860" priority="102" operator="equal">
      <formula>"no"</formula>
    </cfRule>
    <cfRule type="cellIs" dxfId="1859" priority="103" operator="equal">
      <formula>"yes"</formula>
    </cfRule>
  </conditionalFormatting>
  <conditionalFormatting sqref="D135">
    <cfRule type="cellIs" dxfId="1858" priority="101" operator="equal">
      <formula>"TBD"</formula>
    </cfRule>
  </conditionalFormatting>
  <conditionalFormatting sqref="R135:AC135">
    <cfRule type="cellIs" dxfId="1857" priority="99" operator="lessThan">
      <formula>0</formula>
    </cfRule>
    <cfRule type="cellIs" dxfId="1856" priority="100" operator="greaterThan">
      <formula>0</formula>
    </cfRule>
  </conditionalFormatting>
  <conditionalFormatting sqref="P114">
    <cfRule type="cellIs" dxfId="1855" priority="97" operator="lessThan">
      <formula>0</formula>
    </cfRule>
    <cfRule type="cellIs" dxfId="1854" priority="98" operator="greaterThan">
      <formula>0</formula>
    </cfRule>
  </conditionalFormatting>
  <conditionalFormatting sqref="R118:T118">
    <cfRule type="cellIs" dxfId="1853" priority="94" operator="equal">
      <formula>0</formula>
    </cfRule>
    <cfRule type="cellIs" dxfId="1852" priority="95" operator="lessThan">
      <formula>0</formula>
    </cfRule>
    <cfRule type="cellIs" dxfId="1851" priority="96" operator="greaterThan">
      <formula>0</formula>
    </cfRule>
  </conditionalFormatting>
  <conditionalFormatting sqref="R126:T126">
    <cfRule type="cellIs" dxfId="1850" priority="90" operator="lessThan">
      <formula>0</formula>
    </cfRule>
    <cfRule type="cellIs" dxfId="1849" priority="91" operator="equal">
      <formula>0</formula>
    </cfRule>
    <cfRule type="cellIs" dxfId="1848" priority="92" operator="greaterThan">
      <formula>0</formula>
    </cfRule>
  </conditionalFormatting>
  <conditionalFormatting sqref="AH62">
    <cfRule type="cellIs" dxfId="1847" priority="87" operator="lessThan">
      <formula>I62</formula>
    </cfRule>
    <cfRule type="cellIs" dxfId="1846" priority="88" operator="greaterThan">
      <formula>I62</formula>
    </cfRule>
    <cfRule type="cellIs" dxfId="1845" priority="89" operator="equal">
      <formula>I62</formula>
    </cfRule>
  </conditionalFormatting>
  <conditionalFormatting sqref="E62">
    <cfRule type="cellIs" dxfId="1844" priority="85" operator="equal">
      <formula>"no"</formula>
    </cfRule>
    <cfRule type="cellIs" dxfId="1843" priority="86" operator="equal">
      <formula>"yes"</formula>
    </cfRule>
  </conditionalFormatting>
  <conditionalFormatting sqref="I62">
    <cfRule type="cellIs" dxfId="1842" priority="84" operator="equal">
      <formula>0</formula>
    </cfRule>
  </conditionalFormatting>
  <conditionalFormatting sqref="D62">
    <cfRule type="cellIs" dxfId="1841" priority="83" operator="equal">
      <formula>"TBD"</formula>
    </cfRule>
  </conditionalFormatting>
  <conditionalFormatting sqref="AH36">
    <cfRule type="cellIs" dxfId="1840" priority="68" operator="lessThan">
      <formula>I36</formula>
    </cfRule>
    <cfRule type="cellIs" dxfId="1839" priority="69" operator="greaterThan">
      <formula>I36</formula>
    </cfRule>
    <cfRule type="cellIs" dxfId="1838" priority="70" operator="equal">
      <formula>I36</formula>
    </cfRule>
  </conditionalFormatting>
  <conditionalFormatting sqref="AH29:AH30">
    <cfRule type="cellIs" dxfId="1837" priority="80" operator="lessThan">
      <formula>I29</formula>
    </cfRule>
    <cfRule type="cellIs" dxfId="1836" priority="81" operator="greaterThan">
      <formula>I29</formula>
    </cfRule>
    <cfRule type="cellIs" dxfId="1835" priority="82" operator="equal">
      <formula>I29</formula>
    </cfRule>
  </conditionalFormatting>
  <conditionalFormatting sqref="AH33">
    <cfRule type="cellIs" dxfId="1834" priority="74" operator="lessThan">
      <formula>I33</formula>
    </cfRule>
    <cfRule type="cellIs" dxfId="1833" priority="75" operator="greaterThan">
      <formula>I33</formula>
    </cfRule>
    <cfRule type="cellIs" dxfId="1832" priority="76" operator="equal">
      <formula>I33</formula>
    </cfRule>
  </conditionalFormatting>
  <conditionalFormatting sqref="AH34">
    <cfRule type="cellIs" dxfId="1831" priority="71" operator="lessThan">
      <formula>I34</formula>
    </cfRule>
    <cfRule type="cellIs" dxfId="1830" priority="72" operator="greaterThan">
      <formula>I34</formula>
    </cfRule>
    <cfRule type="cellIs" dxfId="1829" priority="73" operator="equal">
      <formula>I34</formula>
    </cfRule>
  </conditionalFormatting>
  <conditionalFormatting sqref="AH82">
    <cfRule type="cellIs" dxfId="1828" priority="65" operator="lessThan">
      <formula>I82</formula>
    </cfRule>
    <cfRule type="cellIs" dxfId="1827" priority="66" operator="greaterThan">
      <formula>I82</formula>
    </cfRule>
    <cfRule type="cellIs" dxfId="1826" priority="67" operator="equal">
      <formula>I82</formula>
    </cfRule>
  </conditionalFormatting>
  <conditionalFormatting sqref="E82">
    <cfRule type="cellIs" dxfId="1825" priority="63" operator="equal">
      <formula>"no"</formula>
    </cfRule>
    <cfRule type="cellIs" dxfId="1824" priority="64" operator="equal">
      <formula>"yes"</formula>
    </cfRule>
  </conditionalFormatting>
  <conditionalFormatting sqref="I82">
    <cfRule type="cellIs" dxfId="1823" priority="62" operator="equal">
      <formula>0</formula>
    </cfRule>
  </conditionalFormatting>
  <conditionalFormatting sqref="D82">
    <cfRule type="cellIs" dxfId="1822" priority="61" operator="equal">
      <formula>"TBD"</formula>
    </cfRule>
  </conditionalFormatting>
  <conditionalFormatting sqref="AH81">
    <cfRule type="cellIs" dxfId="1821" priority="58" operator="lessThan">
      <formula>I81</formula>
    </cfRule>
    <cfRule type="cellIs" dxfId="1820" priority="59" operator="greaterThan">
      <formula>I81</formula>
    </cfRule>
    <cfRule type="cellIs" dxfId="1819" priority="60" operator="equal">
      <formula>I81</formula>
    </cfRule>
  </conditionalFormatting>
  <conditionalFormatting sqref="E81">
    <cfRule type="cellIs" dxfId="1818" priority="56" operator="equal">
      <formula>"no"</formula>
    </cfRule>
    <cfRule type="cellIs" dxfId="1817" priority="57" operator="equal">
      <formula>"yes"</formula>
    </cfRule>
  </conditionalFormatting>
  <conditionalFormatting sqref="D81">
    <cfRule type="cellIs" dxfId="1816" priority="54" operator="equal">
      <formula>"TBD"</formula>
    </cfRule>
  </conditionalFormatting>
  <conditionalFormatting sqref="E20">
    <cfRule type="cellIs" dxfId="1815" priority="52" operator="equal">
      <formula>"no"</formula>
    </cfRule>
    <cfRule type="cellIs" dxfId="1814" priority="53" operator="equal">
      <formula>"yes"</formula>
    </cfRule>
  </conditionalFormatting>
  <conditionalFormatting sqref="D20">
    <cfRule type="cellIs" dxfId="1813" priority="51" operator="equal">
      <formula>"TBD"</formula>
    </cfRule>
  </conditionalFormatting>
  <conditionalFormatting sqref="AH23">
    <cfRule type="cellIs" dxfId="1812" priority="48" operator="lessThan">
      <formula>I23</formula>
    </cfRule>
    <cfRule type="cellIs" dxfId="1811" priority="49" operator="greaterThan">
      <formula>I23</formula>
    </cfRule>
    <cfRule type="cellIs" dxfId="1810" priority="50" operator="equal">
      <formula>I23</formula>
    </cfRule>
  </conditionalFormatting>
  <conditionalFormatting sqref="E23">
    <cfRule type="cellIs" dxfId="1809" priority="46" operator="equal">
      <formula>"no"</formula>
    </cfRule>
    <cfRule type="cellIs" dxfId="1808" priority="47" operator="equal">
      <formula>"yes"</formula>
    </cfRule>
  </conditionalFormatting>
  <conditionalFormatting sqref="D23">
    <cfRule type="cellIs" dxfId="1807" priority="45" operator="equal">
      <formula>"TBD"</formula>
    </cfRule>
  </conditionalFormatting>
  <conditionalFormatting sqref="AH60">
    <cfRule type="cellIs" dxfId="1806" priority="39" operator="lessThan">
      <formula>I60</formula>
    </cfRule>
    <cfRule type="cellIs" dxfId="1805" priority="40" operator="greaterThan">
      <formula>I60</formula>
    </cfRule>
    <cfRule type="cellIs" dxfId="1804" priority="41" operator="equal">
      <formula>I60</formula>
    </cfRule>
  </conditionalFormatting>
  <conditionalFormatting sqref="E60">
    <cfRule type="cellIs" dxfId="1803" priority="37" operator="equal">
      <formula>"no"</formula>
    </cfRule>
    <cfRule type="cellIs" dxfId="1802" priority="38" operator="equal">
      <formula>"yes"</formula>
    </cfRule>
  </conditionalFormatting>
  <conditionalFormatting sqref="D60">
    <cfRule type="cellIs" dxfId="1801" priority="36" operator="equal">
      <formula>"TBD"</formula>
    </cfRule>
  </conditionalFormatting>
  <conditionalFormatting sqref="E56">
    <cfRule type="cellIs" dxfId="1800" priority="27" operator="equal">
      <formula>"no"</formula>
    </cfRule>
    <cfRule type="cellIs" dxfId="1799" priority="28" operator="equal">
      <formula>"yes"</formula>
    </cfRule>
  </conditionalFormatting>
  <conditionalFormatting sqref="D56">
    <cfRule type="cellIs" dxfId="1798" priority="26" operator="equal">
      <formula>"TBD"</formula>
    </cfRule>
  </conditionalFormatting>
  <conditionalFormatting sqref="AH40">
    <cfRule type="cellIs" dxfId="1797" priority="23" operator="lessThan">
      <formula>I40</formula>
    </cfRule>
    <cfRule type="cellIs" dxfId="1796" priority="24" operator="greaterThan">
      <formula>I40</formula>
    </cfRule>
    <cfRule type="cellIs" dxfId="1795" priority="25" operator="equal">
      <formula>I40</formula>
    </cfRule>
  </conditionalFormatting>
  <conditionalFormatting sqref="E40">
    <cfRule type="cellIs" dxfId="1794" priority="21" operator="equal">
      <formula>"no"</formula>
    </cfRule>
    <cfRule type="cellIs" dxfId="1793" priority="22" operator="equal">
      <formula>"yes"</formula>
    </cfRule>
  </conditionalFormatting>
  <conditionalFormatting sqref="D40">
    <cfRule type="cellIs" dxfId="1792" priority="20" operator="equal">
      <formula>"TBD"</formula>
    </cfRule>
  </conditionalFormatting>
  <conditionalFormatting sqref="AH42:AH44">
    <cfRule type="cellIs" dxfId="1791" priority="11" operator="lessThan">
      <formula>I42</formula>
    </cfRule>
    <cfRule type="cellIs" dxfId="1790" priority="12" operator="greaterThan">
      <formula>I42</formula>
    </cfRule>
    <cfRule type="cellIs" dxfId="1789" priority="13" operator="equal">
      <formula>I42</formula>
    </cfRule>
  </conditionalFormatting>
  <conditionalFormatting sqref="E41:E44">
    <cfRule type="cellIs" dxfId="1788" priority="9" operator="equal">
      <formula>"no"</formula>
    </cfRule>
    <cfRule type="cellIs" dxfId="1787" priority="10" operator="equal">
      <formula>"yes"</formula>
    </cfRule>
  </conditionalFormatting>
  <conditionalFormatting sqref="I42:I44">
    <cfRule type="cellIs" dxfId="1786" priority="8" operator="equal">
      <formula>0</formula>
    </cfRule>
  </conditionalFormatting>
  <conditionalFormatting sqref="D41:D44">
    <cfRule type="cellIs" dxfId="1785" priority="7" operator="equal">
      <formula>"TBD"</formula>
    </cfRule>
  </conditionalFormatting>
  <conditionalFormatting sqref="E45:E50">
    <cfRule type="cellIs" dxfId="1784" priority="2" operator="equal">
      <formula>"no"</formula>
    </cfRule>
    <cfRule type="cellIs" dxfId="1783" priority="3" operator="equal">
      <formula>"yes"</formula>
    </cfRule>
  </conditionalFormatting>
  <conditionalFormatting sqref="D45:D50">
    <cfRule type="cellIs" dxfId="1782" priority="1" operator="equal">
      <formula>"TBD"</formula>
    </cfRule>
  </conditionalFormatting>
  <pageMargins left="0.2" right="0.25" top="0.75" bottom="0.75" header="0.3" footer="0.3"/>
  <pageSetup paperSize="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FB263-84CB-43E5-A49C-C78747A18C98}">
  <dimension ref="A1:AK148"/>
  <sheetViews>
    <sheetView zoomScale="85" zoomScaleNormal="85" workbookViewId="0">
      <pane xSplit="2" ySplit="2" topLeftCell="Y3" activePane="bottomRight" state="frozen"/>
      <selection pane="topRight" activeCell="B1" sqref="B1"/>
      <selection pane="bottomLeft" activeCell="A3" sqref="A3"/>
      <selection pane="bottomRight" activeCell="A32" sqref="A32"/>
    </sheetView>
  </sheetViews>
  <sheetFormatPr defaultRowHeight="15" x14ac:dyDescent="0.25"/>
  <cols>
    <col min="1" max="1" width="12.42578125" customWidth="1"/>
    <col min="2" max="2" width="43.5703125" bestFit="1" customWidth="1"/>
    <col min="3" max="3" width="5.5703125" style="74" customWidth="1"/>
    <col min="4" max="4" width="11.5703125" style="74" customWidth="1"/>
    <col min="5" max="5" width="11.5703125" style="74" hidden="1" customWidth="1"/>
    <col min="6" max="6" width="13.5703125" style="74" hidden="1" customWidth="1"/>
    <col min="7" max="7" width="12.5703125" style="74" hidden="1" customWidth="1"/>
    <col min="8" max="8" width="16.5703125" style="38" hidden="1" customWidth="1"/>
    <col min="9" max="9" width="18.5703125" style="78" customWidth="1"/>
    <col min="10" max="14" width="15.5703125" style="78" hidden="1" customWidth="1"/>
    <col min="15" max="15" width="4" style="79" customWidth="1"/>
    <col min="16" max="16" width="17.42578125" style="130" bestFit="1" customWidth="1"/>
    <col min="17" max="17" width="3.42578125" style="79" customWidth="1"/>
    <col min="18" max="20" width="19.5703125" style="78" customWidth="1"/>
    <col min="21" max="23" width="19.5703125" style="81" customWidth="1"/>
    <col min="24" max="29" width="19.5703125" style="78" customWidth="1"/>
    <col min="30" max="30" width="4" style="79" customWidth="1"/>
    <col min="31" max="31" width="18.42578125" style="78" customWidth="1"/>
    <col min="32" max="32" width="16.5703125" style="78" customWidth="1"/>
    <col min="33" max="33" width="3.42578125" style="79" customWidth="1"/>
    <col min="34" max="34" width="17.42578125" style="78" customWidth="1"/>
    <col min="35" max="35" width="3.42578125" style="79" customWidth="1"/>
    <col min="36" max="36" width="17.5703125" customWidth="1"/>
    <col min="37" max="37" width="57" customWidth="1"/>
  </cols>
  <sheetData>
    <row r="1" spans="1:37" s="36" customFormat="1" x14ac:dyDescent="0.25">
      <c r="C1" s="37"/>
      <c r="D1" s="37"/>
      <c r="E1" s="37"/>
      <c r="F1" s="37"/>
      <c r="G1" s="37"/>
      <c r="H1" s="38"/>
      <c r="I1" s="39"/>
      <c r="J1" s="39"/>
      <c r="K1" s="39"/>
      <c r="L1" s="39"/>
      <c r="M1" s="39"/>
      <c r="N1" s="39"/>
      <c r="O1" s="40"/>
      <c r="P1" s="188">
        <v>2020</v>
      </c>
      <c r="Q1" s="42"/>
      <c r="R1" s="526">
        <v>2021</v>
      </c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8"/>
      <c r="AD1" s="40"/>
      <c r="AE1" s="41">
        <v>2022</v>
      </c>
      <c r="AF1" s="43">
        <v>2023</v>
      </c>
      <c r="AG1" s="42"/>
      <c r="AH1" s="41"/>
      <c r="AI1" s="42"/>
    </row>
    <row r="2" spans="1:37" s="36" customFormat="1" ht="31.5" x14ac:dyDescent="0.25">
      <c r="A2" s="62"/>
      <c r="B2" s="63"/>
      <c r="C2" s="44" t="s">
        <v>342</v>
      </c>
      <c r="D2" s="44" t="s">
        <v>343</v>
      </c>
      <c r="E2" s="44" t="s">
        <v>344</v>
      </c>
      <c r="F2" s="44" t="s">
        <v>345</v>
      </c>
      <c r="G2" s="44" t="s">
        <v>346</v>
      </c>
      <c r="H2" s="45" t="s">
        <v>347</v>
      </c>
      <c r="I2" s="46" t="s">
        <v>348</v>
      </c>
      <c r="J2" s="46" t="s">
        <v>349</v>
      </c>
      <c r="K2" s="82" t="s">
        <v>350</v>
      </c>
      <c r="L2" s="82" t="s">
        <v>351</v>
      </c>
      <c r="M2" s="82" t="s">
        <v>350</v>
      </c>
      <c r="N2" s="82"/>
      <c r="O2" s="47"/>
      <c r="P2" s="129" t="s">
        <v>352</v>
      </c>
      <c r="Q2" s="47"/>
      <c r="R2" s="46" t="s">
        <v>353</v>
      </c>
      <c r="S2" s="46" t="s">
        <v>354</v>
      </c>
      <c r="T2" s="46" t="s">
        <v>355</v>
      </c>
      <c r="U2" s="48" t="s">
        <v>356</v>
      </c>
      <c r="V2" s="48" t="s">
        <v>357</v>
      </c>
      <c r="W2" s="46" t="s">
        <v>358</v>
      </c>
      <c r="X2" s="46" t="s">
        <v>359</v>
      </c>
      <c r="Y2" s="48" t="s">
        <v>360</v>
      </c>
      <c r="Z2" s="46" t="s">
        <v>361</v>
      </c>
      <c r="AA2" s="46" t="s">
        <v>362</v>
      </c>
      <c r="AB2" s="48" t="s">
        <v>363</v>
      </c>
      <c r="AC2" s="46" t="s">
        <v>364</v>
      </c>
      <c r="AD2" s="47"/>
      <c r="AE2" s="46" t="s">
        <v>352</v>
      </c>
      <c r="AF2" s="48" t="s">
        <v>352</v>
      </c>
      <c r="AG2" s="47"/>
      <c r="AH2" s="46" t="s">
        <v>365</v>
      </c>
      <c r="AI2" s="47"/>
      <c r="AJ2" s="49" t="s">
        <v>366</v>
      </c>
      <c r="AK2" s="49" t="s">
        <v>547</v>
      </c>
    </row>
    <row r="3" spans="1:37" s="36" customFormat="1" ht="15.75" x14ac:dyDescent="0.25">
      <c r="A3" s="106" t="s">
        <v>27</v>
      </c>
      <c r="B3" s="107"/>
      <c r="C3" s="101" t="s">
        <v>368</v>
      </c>
      <c r="D3" s="102"/>
      <c r="E3" s="102"/>
      <c r="F3" s="102"/>
      <c r="G3" s="102"/>
      <c r="H3" s="84"/>
      <c r="I3" s="103"/>
      <c r="J3" s="103"/>
      <c r="K3" s="103"/>
      <c r="L3" s="103"/>
      <c r="M3" s="103"/>
      <c r="N3" s="103"/>
      <c r="O3" s="47"/>
      <c r="P3" s="85"/>
      <c r="Q3" s="47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47"/>
      <c r="AE3" s="103"/>
      <c r="AF3" s="103"/>
      <c r="AG3" s="47"/>
      <c r="AH3" s="103"/>
      <c r="AI3" s="51"/>
    </row>
    <row r="4" spans="1:37" s="36" customFormat="1" ht="15.75" x14ac:dyDescent="0.25">
      <c r="A4" s="104" t="s">
        <v>288</v>
      </c>
      <c r="B4" s="105" t="s">
        <v>289</v>
      </c>
      <c r="C4" s="52" t="s">
        <v>368</v>
      </c>
      <c r="D4" s="52" t="s">
        <v>369</v>
      </c>
      <c r="E4" s="52" t="s">
        <v>370</v>
      </c>
      <c r="F4" s="87" t="e">
        <f>#REF!</f>
        <v>#REF!</v>
      </c>
      <c r="G4" s="87" t="e">
        <f>#REF!</f>
        <v>#REF!</v>
      </c>
      <c r="H4" s="88" t="e">
        <f t="shared" ref="H4:H15" si="0">((G4-F4)/7)/4.3</f>
        <v>#REF!</v>
      </c>
      <c r="I4" s="181">
        <v>845876</v>
      </c>
      <c r="J4" s="53"/>
      <c r="K4" s="53"/>
      <c r="L4" s="53"/>
      <c r="M4" s="53"/>
      <c r="N4" s="53"/>
      <c r="O4" s="47"/>
      <c r="P4" s="115">
        <v>628337</v>
      </c>
      <c r="Q4" s="47"/>
      <c r="R4" s="115">
        <v>137155</v>
      </c>
      <c r="S4" s="177">
        <v>19492</v>
      </c>
      <c r="T4" s="115">
        <v>60892</v>
      </c>
      <c r="U4" s="242">
        <v>0</v>
      </c>
      <c r="V4" s="115">
        <v>0</v>
      </c>
      <c r="W4" s="115">
        <v>0</v>
      </c>
      <c r="X4" s="115">
        <v>0</v>
      </c>
      <c r="Y4" s="53"/>
      <c r="Z4" s="53"/>
      <c r="AA4" s="53"/>
      <c r="AB4" s="53"/>
      <c r="AC4" s="53"/>
      <c r="AD4" s="47"/>
      <c r="AE4" s="53"/>
      <c r="AF4" s="53"/>
      <c r="AG4" s="47"/>
      <c r="AH4" s="53">
        <f>SUM(P4:AG4)</f>
        <v>845876</v>
      </c>
      <c r="AI4" s="51"/>
      <c r="AJ4" s="55">
        <f t="shared" ref="AJ4:AJ16" si="1">I4-AH4</f>
        <v>0</v>
      </c>
    </row>
    <row r="5" spans="1:37" s="36" customFormat="1" ht="15.75" x14ac:dyDescent="0.25">
      <c r="A5" s="56" t="s">
        <v>292</v>
      </c>
      <c r="B5" s="57" t="s">
        <v>293</v>
      </c>
      <c r="C5" s="52" t="s">
        <v>368</v>
      </c>
      <c r="D5" s="52" t="s">
        <v>369</v>
      </c>
      <c r="E5" s="52" t="s">
        <v>370</v>
      </c>
      <c r="F5" s="87" t="e">
        <f>#REF!</f>
        <v>#REF!</v>
      </c>
      <c r="G5" s="87" t="e">
        <f>#REF!</f>
        <v>#REF!</v>
      </c>
      <c r="H5" s="88" t="e">
        <f t="shared" si="0"/>
        <v>#REF!</v>
      </c>
      <c r="I5" s="181">
        <v>303150</v>
      </c>
      <c r="J5" s="53"/>
      <c r="K5" s="53"/>
      <c r="L5" s="53"/>
      <c r="M5" s="53"/>
      <c r="N5" s="53"/>
      <c r="O5" s="47"/>
      <c r="P5" s="115">
        <v>162612</v>
      </c>
      <c r="Q5" s="47"/>
      <c r="R5" s="115">
        <v>95646</v>
      </c>
      <c r="S5" s="177">
        <v>33342</v>
      </c>
      <c r="T5" s="115">
        <v>5713</v>
      </c>
      <c r="U5" s="242">
        <v>5837</v>
      </c>
      <c r="V5" s="115">
        <v>0</v>
      </c>
      <c r="W5" s="115">
        <v>0</v>
      </c>
      <c r="X5" s="115">
        <v>0</v>
      </c>
      <c r="Y5" s="53"/>
      <c r="Z5" s="53"/>
      <c r="AA5" s="53"/>
      <c r="AB5" s="53"/>
      <c r="AC5" s="53"/>
      <c r="AD5" s="47"/>
      <c r="AE5" s="53"/>
      <c r="AF5" s="53"/>
      <c r="AG5" s="47"/>
      <c r="AH5" s="53">
        <f t="shared" ref="AH5:AH13" si="2">SUM(P5:AG5)</f>
        <v>303150</v>
      </c>
      <c r="AI5" s="51"/>
      <c r="AJ5" s="55">
        <f t="shared" si="1"/>
        <v>0</v>
      </c>
    </row>
    <row r="6" spans="1:37" s="36" customFormat="1" ht="15.75" x14ac:dyDescent="0.25">
      <c r="A6" s="56" t="s">
        <v>295</v>
      </c>
      <c r="B6" s="57" t="s">
        <v>296</v>
      </c>
      <c r="C6" s="52" t="s">
        <v>368</v>
      </c>
      <c r="D6" s="52" t="s">
        <v>369</v>
      </c>
      <c r="E6" s="52" t="s">
        <v>370</v>
      </c>
      <c r="F6" s="87" t="e">
        <f>#REF!</f>
        <v>#REF!</v>
      </c>
      <c r="G6" s="87" t="e">
        <f>#REF!</f>
        <v>#REF!</v>
      </c>
      <c r="H6" s="88" t="e">
        <f t="shared" si="0"/>
        <v>#REF!</v>
      </c>
      <c r="I6" s="181">
        <v>222517</v>
      </c>
      <c r="J6" s="53"/>
      <c r="K6" s="53"/>
      <c r="L6" s="53"/>
      <c r="M6" s="53"/>
      <c r="N6" s="53"/>
      <c r="O6" s="47"/>
      <c r="P6" s="115">
        <v>131745</v>
      </c>
      <c r="Q6" s="47"/>
      <c r="R6" s="115">
        <v>62828</v>
      </c>
      <c r="S6" s="177">
        <v>27944</v>
      </c>
      <c r="T6" s="115">
        <v>0</v>
      </c>
      <c r="U6" s="115">
        <v>0</v>
      </c>
      <c r="V6" s="115">
        <v>0</v>
      </c>
      <c r="W6" s="115">
        <v>0</v>
      </c>
      <c r="X6" s="115">
        <v>0</v>
      </c>
      <c r="Y6" s="53"/>
      <c r="Z6" s="53"/>
      <c r="AA6" s="53"/>
      <c r="AB6" s="53"/>
      <c r="AC6" s="53"/>
      <c r="AD6" s="47"/>
      <c r="AE6" s="53"/>
      <c r="AF6" s="53"/>
      <c r="AG6" s="47"/>
      <c r="AH6" s="53">
        <f t="shared" si="2"/>
        <v>222517</v>
      </c>
      <c r="AI6" s="51"/>
      <c r="AJ6" s="55">
        <f t="shared" si="1"/>
        <v>0</v>
      </c>
    </row>
    <row r="7" spans="1:37" s="36" customFormat="1" ht="15.75" x14ac:dyDescent="0.25">
      <c r="A7" s="34" t="s">
        <v>166</v>
      </c>
      <c r="B7" s="35" t="s">
        <v>168</v>
      </c>
      <c r="C7" s="52" t="s">
        <v>45</v>
      </c>
      <c r="D7" s="52" t="s">
        <v>371</v>
      </c>
      <c r="E7" s="52" t="s">
        <v>320</v>
      </c>
      <c r="F7" s="87" t="e">
        <f>#REF!</f>
        <v>#REF!</v>
      </c>
      <c r="G7" s="87">
        <v>44508</v>
      </c>
      <c r="H7" s="88" t="e">
        <f>((G7-F7)/7)/4.3</f>
        <v>#REF!</v>
      </c>
      <c r="I7" s="181">
        <v>1181870</v>
      </c>
      <c r="J7" s="53"/>
      <c r="K7" s="53"/>
      <c r="L7" s="53"/>
      <c r="M7" s="53"/>
      <c r="N7" s="53"/>
      <c r="O7" s="47"/>
      <c r="P7" s="115">
        <v>0</v>
      </c>
      <c r="Q7" s="47"/>
      <c r="R7" s="115">
        <v>0</v>
      </c>
      <c r="S7" s="115">
        <v>0</v>
      </c>
      <c r="T7" s="115">
        <v>0</v>
      </c>
      <c r="U7" s="115">
        <v>0</v>
      </c>
      <c r="V7" s="115">
        <v>154842</v>
      </c>
      <c r="W7" s="115">
        <v>139424</v>
      </c>
      <c r="X7" s="210">
        <v>0</v>
      </c>
      <c r="Y7" s="275">
        <v>300000</v>
      </c>
      <c r="Z7" s="275">
        <v>150000</v>
      </c>
      <c r="AA7" s="275">
        <v>150000</v>
      </c>
      <c r="AB7" s="275">
        <v>150000</v>
      </c>
      <c r="AC7" s="275">
        <v>137604</v>
      </c>
      <c r="AD7" s="47"/>
      <c r="AE7" s="53"/>
      <c r="AF7" s="53"/>
      <c r="AG7" s="47"/>
      <c r="AH7" s="53">
        <f>SUM(P7:AG7)</f>
        <v>1181870</v>
      </c>
      <c r="AI7" s="51"/>
      <c r="AJ7" s="55">
        <f t="shared" si="1"/>
        <v>0</v>
      </c>
      <c r="AK7" s="36" t="s">
        <v>572</v>
      </c>
    </row>
    <row r="8" spans="1:37" s="36" customFormat="1" ht="15.75" x14ac:dyDescent="0.25">
      <c r="A8" s="56" t="s">
        <v>23</v>
      </c>
      <c r="B8" s="57" t="s">
        <v>25</v>
      </c>
      <c r="C8" s="52" t="s">
        <v>368</v>
      </c>
      <c r="D8" s="52" t="s">
        <v>369</v>
      </c>
      <c r="E8" s="52" t="s">
        <v>370</v>
      </c>
      <c r="F8" s="87">
        <v>44144</v>
      </c>
      <c r="G8" s="87">
        <v>44386</v>
      </c>
      <c r="H8" s="88">
        <f t="shared" si="0"/>
        <v>8.0398671096345513</v>
      </c>
      <c r="I8" s="181">
        <v>1307434</v>
      </c>
      <c r="J8" s="53"/>
      <c r="K8" s="53"/>
      <c r="L8" s="53"/>
      <c r="M8" s="53"/>
      <c r="N8" s="53"/>
      <c r="O8" s="47"/>
      <c r="P8" s="115">
        <v>244435</v>
      </c>
      <c r="Q8" s="47"/>
      <c r="R8" s="115">
        <v>181308</v>
      </c>
      <c r="S8" s="115">
        <v>16313</v>
      </c>
      <c r="T8" s="115">
        <v>286477</v>
      </c>
      <c r="U8" s="242">
        <v>175065</v>
      </c>
      <c r="V8" s="115">
        <v>254689</v>
      </c>
      <c r="W8" s="115">
        <v>149147</v>
      </c>
      <c r="X8" s="115">
        <v>0</v>
      </c>
      <c r="Y8" s="53"/>
      <c r="Z8" s="53"/>
      <c r="AA8" s="53"/>
      <c r="AB8" s="53"/>
      <c r="AC8" s="53"/>
      <c r="AD8" s="47"/>
      <c r="AE8" s="53"/>
      <c r="AF8" s="53"/>
      <c r="AG8" s="47"/>
      <c r="AH8" s="53">
        <f t="shared" si="2"/>
        <v>1307434</v>
      </c>
      <c r="AI8" s="51"/>
      <c r="AJ8" s="55">
        <f t="shared" si="1"/>
        <v>0</v>
      </c>
    </row>
    <row r="9" spans="1:37" s="36" customFormat="1" ht="15.75" x14ac:dyDescent="0.25">
      <c r="A9" s="56" t="s">
        <v>31</v>
      </c>
      <c r="B9" s="57" t="s">
        <v>32</v>
      </c>
      <c r="C9" s="52" t="s">
        <v>368</v>
      </c>
      <c r="D9" s="52" t="s">
        <v>369</v>
      </c>
      <c r="E9" s="52" t="s">
        <v>370</v>
      </c>
      <c r="F9" s="87">
        <v>44144</v>
      </c>
      <c r="G9" s="87">
        <v>44386</v>
      </c>
      <c r="H9" s="88">
        <f t="shared" si="0"/>
        <v>8.0398671096345513</v>
      </c>
      <c r="I9" s="181">
        <v>267573</v>
      </c>
      <c r="J9" s="53"/>
      <c r="K9" s="53"/>
      <c r="L9" s="53"/>
      <c r="M9" s="53"/>
      <c r="N9" s="53"/>
      <c r="O9" s="47"/>
      <c r="P9" s="115">
        <v>46929</v>
      </c>
      <c r="Q9" s="47"/>
      <c r="R9" s="115">
        <v>38525</v>
      </c>
      <c r="S9" s="115">
        <v>0</v>
      </c>
      <c r="T9" s="115">
        <v>45735</v>
      </c>
      <c r="U9" s="242">
        <v>40858</v>
      </c>
      <c r="V9" s="115">
        <f>6750+26297</f>
        <v>33047</v>
      </c>
      <c r="W9" s="115">
        <v>43566</v>
      </c>
      <c r="X9" s="115">
        <v>18912</v>
      </c>
      <c r="Y9" s="275">
        <v>1</v>
      </c>
      <c r="Z9" s="53"/>
      <c r="AA9" s="53"/>
      <c r="AB9" s="53"/>
      <c r="AC9" s="53"/>
      <c r="AD9" s="47"/>
      <c r="AE9" s="53"/>
      <c r="AF9" s="53"/>
      <c r="AG9" s="47"/>
      <c r="AH9" s="53">
        <f t="shared" si="2"/>
        <v>267573</v>
      </c>
      <c r="AI9" s="51"/>
      <c r="AJ9" s="218">
        <f t="shared" si="1"/>
        <v>0</v>
      </c>
      <c r="AK9" s="36" t="s">
        <v>550</v>
      </c>
    </row>
    <row r="10" spans="1:37" s="36" customFormat="1" ht="15.75" x14ac:dyDescent="0.25">
      <c r="A10" s="56" t="s">
        <v>33</v>
      </c>
      <c r="B10" s="57" t="s">
        <v>34</v>
      </c>
      <c r="C10" s="52" t="s">
        <v>368</v>
      </c>
      <c r="D10" s="52" t="s">
        <v>369</v>
      </c>
      <c r="E10" s="52" t="s">
        <v>370</v>
      </c>
      <c r="F10" s="87">
        <v>44144</v>
      </c>
      <c r="G10" s="87">
        <v>44386</v>
      </c>
      <c r="H10" s="88">
        <f t="shared" si="0"/>
        <v>8.0398671096345513</v>
      </c>
      <c r="I10" s="181">
        <v>231276</v>
      </c>
      <c r="J10" s="53"/>
      <c r="K10" s="53"/>
      <c r="L10" s="53"/>
      <c r="M10" s="53"/>
      <c r="N10" s="53"/>
      <c r="O10" s="47"/>
      <c r="P10" s="115">
        <v>34010</v>
      </c>
      <c r="Q10" s="47"/>
      <c r="R10" s="115">
        <v>31345</v>
      </c>
      <c r="S10" s="115">
        <v>0</v>
      </c>
      <c r="T10" s="115">
        <v>42608</v>
      </c>
      <c r="U10" s="242">
        <v>27037</v>
      </c>
      <c r="V10" s="115">
        <f>9333+19266</f>
        <v>28599</v>
      </c>
      <c r="W10" s="115">
        <v>46383</v>
      </c>
      <c r="X10" s="115">
        <f>6580+13609</f>
        <v>20189</v>
      </c>
      <c r="Y10" s="275">
        <v>1105</v>
      </c>
      <c r="Z10" s="53"/>
      <c r="AA10" s="53"/>
      <c r="AB10" s="53"/>
      <c r="AC10" s="53"/>
      <c r="AD10" s="47"/>
      <c r="AE10" s="53"/>
      <c r="AF10" s="53"/>
      <c r="AG10" s="47"/>
      <c r="AH10" s="53">
        <f t="shared" si="2"/>
        <v>231276</v>
      </c>
      <c r="AI10" s="51"/>
      <c r="AJ10" s="218">
        <f t="shared" si="1"/>
        <v>0</v>
      </c>
      <c r="AK10" s="36" t="s">
        <v>550</v>
      </c>
    </row>
    <row r="11" spans="1:37" s="36" customFormat="1" ht="15.75" x14ac:dyDescent="0.25">
      <c r="A11" s="56" t="s">
        <v>35</v>
      </c>
      <c r="B11" s="57" t="s">
        <v>36</v>
      </c>
      <c r="C11" s="52" t="s">
        <v>368</v>
      </c>
      <c r="D11" s="52" t="s">
        <v>401</v>
      </c>
      <c r="E11" s="52" t="s">
        <v>370</v>
      </c>
      <c r="F11" s="87">
        <v>44241</v>
      </c>
      <c r="G11" s="87">
        <v>44439</v>
      </c>
      <c r="H11" s="88">
        <f t="shared" si="0"/>
        <v>6.5780730897009967</v>
      </c>
      <c r="I11" s="181">
        <v>984546</v>
      </c>
      <c r="J11" s="53"/>
      <c r="K11" s="53"/>
      <c r="L11" s="53"/>
      <c r="M11" s="53"/>
      <c r="N11" s="53"/>
      <c r="O11" s="47"/>
      <c r="P11" s="115">
        <v>230830</v>
      </c>
      <c r="Q11" s="47"/>
      <c r="R11" s="115">
        <v>155142</v>
      </c>
      <c r="S11" s="115">
        <v>20934</v>
      </c>
      <c r="T11" s="115">
        <v>247073</v>
      </c>
      <c r="U11" s="242">
        <v>88548</v>
      </c>
      <c r="V11" s="115">
        <f>14953+98288</f>
        <v>113241</v>
      </c>
      <c r="W11" s="115">
        <v>61708</v>
      </c>
      <c r="X11" s="115">
        <v>67070</v>
      </c>
      <c r="Y11" s="58"/>
      <c r="Z11" s="53"/>
      <c r="AA11" s="53"/>
      <c r="AB11" s="53"/>
      <c r="AC11" s="53"/>
      <c r="AD11" s="47"/>
      <c r="AE11" s="53"/>
      <c r="AF11" s="53"/>
      <c r="AG11" s="47"/>
      <c r="AH11" s="53">
        <f t="shared" si="2"/>
        <v>984546</v>
      </c>
      <c r="AI11" s="51"/>
      <c r="AJ11" s="55">
        <f t="shared" si="1"/>
        <v>0</v>
      </c>
    </row>
    <row r="12" spans="1:37" s="36" customFormat="1" ht="15.75" x14ac:dyDescent="0.25">
      <c r="A12" s="34" t="s">
        <v>170</v>
      </c>
      <c r="B12" s="35" t="s">
        <v>171</v>
      </c>
      <c r="C12" s="52" t="s">
        <v>45</v>
      </c>
      <c r="D12" s="52" t="s">
        <v>371</v>
      </c>
      <c r="E12" s="52" t="s">
        <v>320</v>
      </c>
      <c r="F12" s="52">
        <v>44319</v>
      </c>
      <c r="G12" s="52">
        <v>44559</v>
      </c>
      <c r="H12" s="50">
        <f>((G12-F12)/7)/4.3</f>
        <v>7.9734219269102988</v>
      </c>
      <c r="I12" s="182">
        <v>1051400</v>
      </c>
      <c r="J12" s="53"/>
      <c r="K12" s="53"/>
      <c r="L12" s="53"/>
      <c r="M12" s="53"/>
      <c r="N12" s="53"/>
      <c r="O12" s="47"/>
      <c r="P12" s="115">
        <v>0</v>
      </c>
      <c r="Q12" s="47"/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f>111250</f>
        <v>111250</v>
      </c>
      <c r="X12" s="115">
        <v>14446</v>
      </c>
      <c r="Y12" s="275">
        <f>175000+135554</f>
        <v>310554</v>
      </c>
      <c r="Z12" s="275">
        <v>175000</v>
      </c>
      <c r="AA12" s="275">
        <v>200000</v>
      </c>
      <c r="AB12" s="275">
        <v>200000</v>
      </c>
      <c r="AC12" s="275">
        <v>40150</v>
      </c>
      <c r="AD12" s="47"/>
      <c r="AE12" s="53"/>
      <c r="AF12" s="53"/>
      <c r="AG12" s="47"/>
      <c r="AH12" s="53">
        <f>SUM(P12:AG12)</f>
        <v>1051400</v>
      </c>
      <c r="AI12" s="51"/>
      <c r="AJ12" s="218">
        <f t="shared" si="1"/>
        <v>0</v>
      </c>
    </row>
    <row r="13" spans="1:37" s="36" customFormat="1" ht="15.75" x14ac:dyDescent="0.25">
      <c r="A13" s="34" t="s">
        <v>41</v>
      </c>
      <c r="B13" s="35" t="s">
        <v>42</v>
      </c>
      <c r="C13" s="52" t="s">
        <v>368</v>
      </c>
      <c r="D13" s="52" t="s">
        <v>371</v>
      </c>
      <c r="E13" s="52" t="s">
        <v>370</v>
      </c>
      <c r="F13" s="87">
        <v>44256</v>
      </c>
      <c r="G13" s="87">
        <v>44406</v>
      </c>
      <c r="H13" s="88">
        <f t="shared" si="0"/>
        <v>4.9833887043189371</v>
      </c>
      <c r="I13" s="181">
        <v>723063</v>
      </c>
      <c r="J13" s="53"/>
      <c r="K13" s="53"/>
      <c r="L13" s="53"/>
      <c r="M13" s="53"/>
      <c r="N13" s="53"/>
      <c r="O13" s="47"/>
      <c r="P13" s="115">
        <v>0</v>
      </c>
      <c r="Q13" s="47"/>
      <c r="R13" s="115">
        <v>0</v>
      </c>
      <c r="S13" s="115">
        <v>0</v>
      </c>
      <c r="T13" s="115">
        <v>79004</v>
      </c>
      <c r="U13" s="242">
        <v>201430</v>
      </c>
      <c r="V13" s="115">
        <f>30182+141103</f>
        <v>171285</v>
      </c>
      <c r="W13" s="115">
        <v>187324</v>
      </c>
      <c r="X13" s="115">
        <v>84019</v>
      </c>
      <c r="Y13" s="275">
        <v>1</v>
      </c>
      <c r="Z13" s="58"/>
      <c r="AA13" s="58"/>
      <c r="AB13" s="58"/>
      <c r="AC13" s="53"/>
      <c r="AD13" s="47"/>
      <c r="AE13" s="53"/>
      <c r="AF13" s="53"/>
      <c r="AG13" s="47"/>
      <c r="AH13" s="53">
        <f t="shared" si="2"/>
        <v>723063</v>
      </c>
      <c r="AI13" s="51"/>
      <c r="AJ13" s="218">
        <f t="shared" si="1"/>
        <v>0</v>
      </c>
      <c r="AK13" s="36" t="s">
        <v>550</v>
      </c>
    </row>
    <row r="14" spans="1:37" s="36" customFormat="1" ht="15.75" x14ac:dyDescent="0.25">
      <c r="A14" s="111" t="s">
        <v>174</v>
      </c>
      <c r="B14" s="112" t="s">
        <v>175</v>
      </c>
      <c r="C14" s="52" t="s">
        <v>45</v>
      </c>
      <c r="D14" s="52" t="s">
        <v>371</v>
      </c>
      <c r="E14" s="52" t="s">
        <v>320</v>
      </c>
      <c r="F14" s="52">
        <v>44317</v>
      </c>
      <c r="G14" s="52">
        <v>44497</v>
      </c>
      <c r="H14" s="50">
        <f>((G14-F14)/7)/4.3</f>
        <v>5.9800664451827243</v>
      </c>
      <c r="I14" s="182">
        <v>1367414</v>
      </c>
      <c r="J14" s="53"/>
      <c r="K14" s="53"/>
      <c r="L14" s="53"/>
      <c r="M14" s="53"/>
      <c r="N14" s="53"/>
      <c r="O14" s="47"/>
      <c r="P14" s="115">
        <v>0</v>
      </c>
      <c r="Q14" s="47"/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210">
        <v>0</v>
      </c>
      <c r="Y14" s="275">
        <f>150000+125000</f>
        <v>275000</v>
      </c>
      <c r="Z14" s="275">
        <v>175000</v>
      </c>
      <c r="AA14" s="275">
        <v>175000</v>
      </c>
      <c r="AB14" s="275">
        <v>175000</v>
      </c>
      <c r="AC14" s="275">
        <v>175000</v>
      </c>
      <c r="AD14" s="47"/>
      <c r="AE14" s="275">
        <v>392414</v>
      </c>
      <c r="AF14" s="53"/>
      <c r="AG14" s="47"/>
      <c r="AH14" s="53">
        <f>SUM(P14:AG14)</f>
        <v>1367414</v>
      </c>
      <c r="AI14" s="51"/>
      <c r="AJ14" s="218">
        <f t="shared" si="1"/>
        <v>0</v>
      </c>
      <c r="AK14" s="36" t="s">
        <v>573</v>
      </c>
    </row>
    <row r="15" spans="1:37" s="36" customFormat="1" ht="15.75" x14ac:dyDescent="0.25">
      <c r="A15" s="34" t="s">
        <v>47</v>
      </c>
      <c r="B15" s="35" t="s">
        <v>48</v>
      </c>
      <c r="C15" s="52" t="s">
        <v>368</v>
      </c>
      <c r="D15" s="52" t="s">
        <v>401</v>
      </c>
      <c r="E15" s="52" t="s">
        <v>370</v>
      </c>
      <c r="F15" s="87">
        <v>44228</v>
      </c>
      <c r="G15" s="87">
        <v>44286</v>
      </c>
      <c r="H15" s="88">
        <f t="shared" si="0"/>
        <v>1.9269102990033224</v>
      </c>
      <c r="I15" s="181">
        <v>81500</v>
      </c>
      <c r="J15" s="53"/>
      <c r="K15" s="53"/>
      <c r="L15" s="53"/>
      <c r="M15" s="53"/>
      <c r="N15" s="53"/>
      <c r="O15" s="47"/>
      <c r="P15" s="115">
        <v>0</v>
      </c>
      <c r="Q15" s="47"/>
      <c r="R15" s="115">
        <v>0</v>
      </c>
      <c r="S15" s="115">
        <v>0</v>
      </c>
      <c r="T15" s="115">
        <v>81500</v>
      </c>
      <c r="U15" s="242">
        <v>0</v>
      </c>
      <c r="V15" s="115">
        <v>0</v>
      </c>
      <c r="W15" s="115">
        <v>0</v>
      </c>
      <c r="X15" s="115">
        <v>0</v>
      </c>
      <c r="Y15" s="53"/>
      <c r="Z15" s="53"/>
      <c r="AA15" s="53"/>
      <c r="AB15" s="53"/>
      <c r="AC15" s="53"/>
      <c r="AD15" s="47"/>
      <c r="AE15" s="53"/>
      <c r="AF15" s="53"/>
      <c r="AG15" s="47"/>
      <c r="AH15" s="53">
        <f>SUM(P15:AG15)</f>
        <v>81500</v>
      </c>
      <c r="AI15" s="51"/>
      <c r="AJ15" s="55">
        <f t="shared" si="1"/>
        <v>0</v>
      </c>
    </row>
    <row r="16" spans="1:37" s="36" customFormat="1" ht="15.75" x14ac:dyDescent="0.25">
      <c r="A16" s="95"/>
      <c r="B16" s="95"/>
      <c r="C16" s="91"/>
      <c r="D16" s="91"/>
      <c r="E16" s="91"/>
      <c r="F16" s="91"/>
      <c r="G16" s="91"/>
      <c r="H16" s="92"/>
      <c r="I16" s="243">
        <f>SUM(I4:I15)</f>
        <v>8567619</v>
      </c>
      <c r="J16" s="243">
        <f t="shared" ref="J16:AF16" si="3">SUM(J4:J15)</f>
        <v>0</v>
      </c>
      <c r="K16" s="243">
        <f t="shared" si="3"/>
        <v>0</v>
      </c>
      <c r="L16" s="243">
        <f t="shared" si="3"/>
        <v>0</v>
      </c>
      <c r="M16" s="243">
        <f t="shared" si="3"/>
        <v>0</v>
      </c>
      <c r="N16" s="243">
        <f t="shared" si="3"/>
        <v>0</v>
      </c>
      <c r="O16" s="47"/>
      <c r="P16" s="243">
        <f t="shared" si="3"/>
        <v>1478898</v>
      </c>
      <c r="Q16" s="47"/>
      <c r="R16" s="243">
        <f t="shared" si="3"/>
        <v>701949</v>
      </c>
      <c r="S16" s="243">
        <f t="shared" si="3"/>
        <v>118025</v>
      </c>
      <c r="T16" s="243">
        <f t="shared" si="3"/>
        <v>849002</v>
      </c>
      <c r="U16" s="243">
        <f t="shared" si="3"/>
        <v>538775</v>
      </c>
      <c r="V16" s="243">
        <f t="shared" si="3"/>
        <v>755703</v>
      </c>
      <c r="W16" s="243">
        <f t="shared" si="3"/>
        <v>738802</v>
      </c>
      <c r="X16" s="243">
        <f t="shared" si="3"/>
        <v>204636</v>
      </c>
      <c r="Y16" s="243">
        <f t="shared" si="3"/>
        <v>886661</v>
      </c>
      <c r="Z16" s="243">
        <f t="shared" si="3"/>
        <v>500000</v>
      </c>
      <c r="AA16" s="243">
        <f t="shared" si="3"/>
        <v>525000</v>
      </c>
      <c r="AB16" s="243">
        <f t="shared" si="3"/>
        <v>525000</v>
      </c>
      <c r="AC16" s="243">
        <f t="shared" si="3"/>
        <v>352754</v>
      </c>
      <c r="AD16" s="47"/>
      <c r="AE16" s="243">
        <f t="shared" si="3"/>
        <v>392414</v>
      </c>
      <c r="AF16" s="243">
        <f t="shared" si="3"/>
        <v>0</v>
      </c>
      <c r="AG16" s="47"/>
      <c r="AH16" s="59">
        <f>SUM(P16:AG16)</f>
        <v>8567619</v>
      </c>
      <c r="AI16" s="51"/>
      <c r="AJ16" s="218">
        <f t="shared" si="1"/>
        <v>0</v>
      </c>
    </row>
    <row r="17" spans="1:37" s="36" customFormat="1" ht="15.75" x14ac:dyDescent="0.25">
      <c r="A17" s="106" t="s">
        <v>119</v>
      </c>
      <c r="B17" s="107"/>
      <c r="C17" s="101" t="s">
        <v>387</v>
      </c>
      <c r="D17" s="102"/>
      <c r="E17" s="102"/>
      <c r="F17" s="102"/>
      <c r="G17" s="102"/>
      <c r="H17" s="84"/>
      <c r="I17" s="193" t="s">
        <v>444</v>
      </c>
      <c r="J17" s="103"/>
      <c r="K17" s="103"/>
      <c r="L17" s="103"/>
      <c r="M17" s="103"/>
      <c r="N17" s="103"/>
      <c r="O17" s="47"/>
      <c r="P17" s="85"/>
      <c r="Q17" s="47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47"/>
      <c r="AE17" s="103"/>
      <c r="AF17" s="103"/>
      <c r="AG17" s="47"/>
      <c r="AH17" s="85"/>
      <c r="AI17" s="51"/>
      <c r="AJ17" s="218"/>
    </row>
    <row r="18" spans="1:37" s="36" customFormat="1" ht="15.75" x14ac:dyDescent="0.25">
      <c r="A18" s="244" t="s">
        <v>284</v>
      </c>
      <c r="B18" s="57" t="s">
        <v>421</v>
      </c>
      <c r="C18" s="276" t="s">
        <v>368</v>
      </c>
      <c r="D18" s="52" t="s">
        <v>402</v>
      </c>
      <c r="E18" s="52" t="s">
        <v>370</v>
      </c>
      <c r="F18" s="52"/>
      <c r="G18" s="52"/>
      <c r="H18" s="50">
        <f t="shared" ref="H18:H28" si="4">((G18-F18)/7)/4.3</f>
        <v>0</v>
      </c>
      <c r="I18" s="182">
        <v>660134</v>
      </c>
      <c r="J18" s="53"/>
      <c r="K18" s="53"/>
      <c r="L18" s="53"/>
      <c r="M18" s="53"/>
      <c r="N18" s="53"/>
      <c r="O18" s="47"/>
      <c r="P18" s="115">
        <v>568347</v>
      </c>
      <c r="Q18" s="47"/>
      <c r="R18" s="115">
        <v>879</v>
      </c>
      <c r="S18" s="115">
        <v>35573</v>
      </c>
      <c r="T18" s="115">
        <v>656</v>
      </c>
      <c r="U18" s="115">
        <v>0</v>
      </c>
      <c r="V18" s="115">
        <v>0</v>
      </c>
      <c r="W18" s="115">
        <v>535</v>
      </c>
      <c r="X18" s="210">
        <v>0</v>
      </c>
      <c r="Y18" s="275">
        <v>54144</v>
      </c>
      <c r="Z18" s="89"/>
      <c r="AA18" s="58"/>
      <c r="AB18" s="58"/>
      <c r="AC18" s="58"/>
      <c r="AD18" s="47"/>
      <c r="AE18" s="53"/>
      <c r="AF18" s="53"/>
      <c r="AG18" s="47"/>
      <c r="AH18" s="53">
        <f t="shared" ref="AH18:AH30" si="5">SUM(P18:AG18)</f>
        <v>660134</v>
      </c>
      <c r="AI18" s="51"/>
      <c r="AJ18" s="218">
        <f>I18-AH18</f>
        <v>0</v>
      </c>
    </row>
    <row r="19" spans="1:37" s="36" customFormat="1" ht="15.75" x14ac:dyDescent="0.25">
      <c r="A19" s="244" t="s">
        <v>116</v>
      </c>
      <c r="B19" s="57" t="s">
        <v>117</v>
      </c>
      <c r="C19" s="52" t="s">
        <v>387</v>
      </c>
      <c r="D19" s="52" t="s">
        <v>402</v>
      </c>
      <c r="E19" s="52" t="s">
        <v>370</v>
      </c>
      <c r="F19" s="52">
        <v>44075</v>
      </c>
      <c r="G19" s="52">
        <v>44286</v>
      </c>
      <c r="H19" s="50">
        <f t="shared" si="4"/>
        <v>7.0099667774086383</v>
      </c>
      <c r="I19" s="182">
        <v>940687</v>
      </c>
      <c r="J19" s="53"/>
      <c r="K19" s="53"/>
      <c r="L19" s="53"/>
      <c r="M19" s="53"/>
      <c r="N19" s="53"/>
      <c r="O19" s="47"/>
      <c r="P19" s="115">
        <v>720455</v>
      </c>
      <c r="Q19" s="47"/>
      <c r="R19" s="115">
        <v>114649</v>
      </c>
      <c r="S19" s="115">
        <v>0</v>
      </c>
      <c r="T19" s="115">
        <v>105583</v>
      </c>
      <c r="U19" s="115">
        <v>0</v>
      </c>
      <c r="V19" s="115">
        <v>0</v>
      </c>
      <c r="W19" s="115">
        <v>0</v>
      </c>
      <c r="X19" s="115">
        <v>0</v>
      </c>
      <c r="Y19" s="89"/>
      <c r="Z19" s="89"/>
      <c r="AA19" s="58"/>
      <c r="AB19" s="58"/>
      <c r="AC19" s="58"/>
      <c r="AD19" s="47"/>
      <c r="AE19" s="53"/>
      <c r="AF19" s="53"/>
      <c r="AG19" s="47"/>
      <c r="AH19" s="53">
        <f t="shared" si="5"/>
        <v>940687</v>
      </c>
      <c r="AI19" s="51"/>
      <c r="AJ19" s="218">
        <f t="shared" ref="AJ19:AJ28" si="6">I19-AH19</f>
        <v>0</v>
      </c>
    </row>
    <row r="20" spans="1:37" s="36" customFormat="1" ht="15.75" x14ac:dyDescent="0.25">
      <c r="A20" s="104" t="s">
        <v>121</v>
      </c>
      <c r="B20" s="65" t="s">
        <v>122</v>
      </c>
      <c r="C20" s="52" t="s">
        <v>387</v>
      </c>
      <c r="D20" s="52" t="s">
        <v>402</v>
      </c>
      <c r="E20" s="52" t="s">
        <v>370</v>
      </c>
      <c r="F20" s="52">
        <v>44136</v>
      </c>
      <c r="G20" s="52">
        <v>44286</v>
      </c>
      <c r="H20" s="50">
        <f t="shared" si="4"/>
        <v>4.9833887043189371</v>
      </c>
      <c r="I20" s="181">
        <v>226188</v>
      </c>
      <c r="J20" s="53">
        <v>819670</v>
      </c>
      <c r="K20" s="53"/>
      <c r="L20" s="53"/>
      <c r="M20" s="53"/>
      <c r="N20" s="53"/>
      <c r="O20" s="47"/>
      <c r="P20" s="115">
        <v>64622</v>
      </c>
      <c r="Q20" s="47"/>
      <c r="R20" s="115">
        <v>39562</v>
      </c>
      <c r="S20" s="115">
        <v>18328</v>
      </c>
      <c r="T20" s="115">
        <v>101052</v>
      </c>
      <c r="U20" s="115">
        <v>2624</v>
      </c>
      <c r="V20" s="115">
        <v>0</v>
      </c>
      <c r="W20" s="115">
        <v>0</v>
      </c>
      <c r="X20" s="115">
        <v>0</v>
      </c>
      <c r="Y20" s="53"/>
      <c r="Z20" s="53"/>
      <c r="AA20" s="53"/>
      <c r="AB20" s="53"/>
      <c r="AC20" s="53"/>
      <c r="AD20" s="47"/>
      <c r="AE20" s="53"/>
      <c r="AF20" s="53"/>
      <c r="AG20" s="47"/>
      <c r="AH20" s="53">
        <f t="shared" si="5"/>
        <v>226188</v>
      </c>
      <c r="AI20" s="51"/>
      <c r="AJ20" s="218">
        <f t="shared" si="6"/>
        <v>0</v>
      </c>
    </row>
    <row r="21" spans="1:37" s="36" customFormat="1" ht="15.75" x14ac:dyDescent="0.25">
      <c r="A21" s="104" t="s">
        <v>124</v>
      </c>
      <c r="B21" s="65" t="s">
        <v>125</v>
      </c>
      <c r="C21" s="52" t="s">
        <v>387</v>
      </c>
      <c r="D21" s="52" t="s">
        <v>402</v>
      </c>
      <c r="E21" s="52" t="s">
        <v>370</v>
      </c>
      <c r="F21" s="52">
        <v>44136</v>
      </c>
      <c r="G21" s="52">
        <v>44286</v>
      </c>
      <c r="H21" s="50">
        <f t="shared" si="4"/>
        <v>4.9833887043189371</v>
      </c>
      <c r="I21" s="182">
        <v>315962</v>
      </c>
      <c r="J21" s="53"/>
      <c r="K21" s="53"/>
      <c r="L21" s="53"/>
      <c r="M21" s="53"/>
      <c r="N21" s="53"/>
      <c r="O21" s="47"/>
      <c r="P21" s="115">
        <v>124791</v>
      </c>
      <c r="Q21" s="47"/>
      <c r="R21" s="115">
        <v>64927</v>
      </c>
      <c r="S21" s="115">
        <v>25844</v>
      </c>
      <c r="T21" s="115">
        <v>98461</v>
      </c>
      <c r="U21" s="115">
        <v>1939</v>
      </c>
      <c r="V21" s="115">
        <v>0</v>
      </c>
      <c r="W21" s="115">
        <v>0</v>
      </c>
      <c r="X21" s="115">
        <v>0</v>
      </c>
      <c r="Y21" s="53"/>
      <c r="Z21" s="53"/>
      <c r="AA21" s="53"/>
      <c r="AB21" s="53"/>
      <c r="AC21" s="53"/>
      <c r="AD21" s="47"/>
      <c r="AE21" s="53"/>
      <c r="AF21" s="53"/>
      <c r="AG21" s="47"/>
      <c r="AH21" s="53">
        <f t="shared" si="5"/>
        <v>315962</v>
      </c>
      <c r="AI21" s="51"/>
      <c r="AJ21" s="218">
        <f t="shared" si="6"/>
        <v>0</v>
      </c>
    </row>
    <row r="22" spans="1:37" s="36" customFormat="1" ht="15.75" x14ac:dyDescent="0.25">
      <c r="A22" s="104" t="s">
        <v>127</v>
      </c>
      <c r="B22" s="65" t="s">
        <v>396</v>
      </c>
      <c r="C22" s="52" t="s">
        <v>562</v>
      </c>
      <c r="D22" s="52" t="s">
        <v>402</v>
      </c>
      <c r="E22" s="52" t="s">
        <v>370</v>
      </c>
      <c r="F22" s="52">
        <v>44272</v>
      </c>
      <c r="G22" s="52">
        <v>44362</v>
      </c>
      <c r="H22" s="50">
        <f t="shared" si="4"/>
        <v>2.9900332225913622</v>
      </c>
      <c r="I22" s="182">
        <v>383545</v>
      </c>
      <c r="J22" s="53">
        <v>142789</v>
      </c>
      <c r="K22" s="53"/>
      <c r="L22" s="53"/>
      <c r="M22" s="53"/>
      <c r="N22" s="53"/>
      <c r="O22" s="47"/>
      <c r="P22" s="115">
        <v>0</v>
      </c>
      <c r="Q22" s="47"/>
      <c r="R22" s="115">
        <v>0</v>
      </c>
      <c r="S22" s="115">
        <v>0</v>
      </c>
      <c r="T22" s="115">
        <v>0</v>
      </c>
      <c r="U22" s="115">
        <f>84179+34753</f>
        <v>118932</v>
      </c>
      <c r="V22" s="115">
        <f>93305+17005</f>
        <v>110310</v>
      </c>
      <c r="W22" s="115">
        <v>66219</v>
      </c>
      <c r="X22" s="210">
        <v>58693</v>
      </c>
      <c r="Y22" s="275">
        <v>29391</v>
      </c>
      <c r="Z22" s="53"/>
      <c r="AA22" s="53"/>
      <c r="AB22" s="53"/>
      <c r="AC22" s="53"/>
      <c r="AD22" s="47"/>
      <c r="AE22" s="53"/>
      <c r="AF22" s="53"/>
      <c r="AG22" s="47"/>
      <c r="AH22" s="53">
        <f t="shared" si="5"/>
        <v>383545</v>
      </c>
      <c r="AI22" s="51"/>
      <c r="AJ22" s="218">
        <f t="shared" si="6"/>
        <v>0</v>
      </c>
    </row>
    <row r="23" spans="1:37" s="36" customFormat="1" ht="15.75" x14ac:dyDescent="0.25">
      <c r="A23" s="104" t="s">
        <v>129</v>
      </c>
      <c r="B23" s="65" t="s">
        <v>130</v>
      </c>
      <c r="C23" s="52" t="s">
        <v>373</v>
      </c>
      <c r="D23" s="52" t="s">
        <v>402</v>
      </c>
      <c r="E23" s="52" t="s">
        <v>370</v>
      </c>
      <c r="F23" s="52">
        <v>44136</v>
      </c>
      <c r="G23" s="52">
        <v>44408</v>
      </c>
      <c r="H23" s="50">
        <f t="shared" si="4"/>
        <v>9.0365448504983377</v>
      </c>
      <c r="I23" s="182">
        <v>1809504</v>
      </c>
      <c r="J23" s="53">
        <v>272772</v>
      </c>
      <c r="K23" s="53"/>
      <c r="L23" s="53"/>
      <c r="M23" s="53"/>
      <c r="N23" s="53"/>
      <c r="O23" s="47"/>
      <c r="P23" s="115">
        <v>407476</v>
      </c>
      <c r="Q23" s="47"/>
      <c r="R23" s="115">
        <v>214131</v>
      </c>
      <c r="S23" s="115">
        <v>74131</v>
      </c>
      <c r="T23" s="115">
        <v>135778</v>
      </c>
      <c r="U23" s="115">
        <v>437832</v>
      </c>
      <c r="V23" s="115">
        <v>31174</v>
      </c>
      <c r="W23" s="115">
        <v>82243</v>
      </c>
      <c r="X23" s="210">
        <v>45087</v>
      </c>
      <c r="Y23" s="275">
        <v>154913</v>
      </c>
      <c r="Z23" s="275">
        <v>100000</v>
      </c>
      <c r="AA23" s="275">
        <v>100000</v>
      </c>
      <c r="AB23" s="275">
        <v>26739</v>
      </c>
      <c r="AC23" s="53"/>
      <c r="AD23" s="47"/>
      <c r="AE23" s="53"/>
      <c r="AF23" s="53"/>
      <c r="AG23" s="47"/>
      <c r="AH23" s="53">
        <f t="shared" si="5"/>
        <v>1809504</v>
      </c>
      <c r="AI23" s="51"/>
      <c r="AJ23" s="218">
        <f t="shared" si="6"/>
        <v>0</v>
      </c>
    </row>
    <row r="24" spans="1:37" s="36" customFormat="1" ht="15.75" x14ac:dyDescent="0.25">
      <c r="A24" s="104" t="s">
        <v>134</v>
      </c>
      <c r="B24" s="65" t="s">
        <v>135</v>
      </c>
      <c r="C24" s="52" t="s">
        <v>562</v>
      </c>
      <c r="D24" s="52" t="s">
        <v>566</v>
      </c>
      <c r="E24" s="52" t="s">
        <v>370</v>
      </c>
      <c r="F24" s="52">
        <v>44228</v>
      </c>
      <c r="G24" s="52">
        <v>44429</v>
      </c>
      <c r="H24" s="50">
        <f t="shared" si="4"/>
        <v>6.6777408637873759</v>
      </c>
      <c r="I24" s="245">
        <v>1006579</v>
      </c>
      <c r="J24" s="53"/>
      <c r="K24" s="53"/>
      <c r="L24" s="53"/>
      <c r="M24" s="53"/>
      <c r="N24" s="53"/>
      <c r="O24" s="47"/>
      <c r="P24" s="115">
        <v>131243</v>
      </c>
      <c r="Q24" s="47"/>
      <c r="R24" s="115">
        <v>0</v>
      </c>
      <c r="S24" s="115">
        <v>0</v>
      </c>
      <c r="T24" s="115">
        <v>0</v>
      </c>
      <c r="U24" s="115"/>
      <c r="V24" s="115">
        <f>36571+46439</f>
        <v>83010</v>
      </c>
      <c r="W24" s="115">
        <v>67371</v>
      </c>
      <c r="X24" s="210">
        <v>0</v>
      </c>
      <c r="Y24" s="275">
        <v>275336</v>
      </c>
      <c r="Z24" s="275">
        <v>150000</v>
      </c>
      <c r="AA24" s="275">
        <v>150000</v>
      </c>
      <c r="AB24" s="275">
        <v>149619</v>
      </c>
      <c r="AC24" s="53"/>
      <c r="AD24" s="47"/>
      <c r="AE24" s="53"/>
      <c r="AF24" s="53"/>
      <c r="AG24" s="47"/>
      <c r="AH24" s="53">
        <f t="shared" si="5"/>
        <v>1006579</v>
      </c>
      <c r="AI24" s="51"/>
      <c r="AJ24" s="218">
        <f t="shared" si="6"/>
        <v>0</v>
      </c>
      <c r="AK24" s="36" t="s">
        <v>549</v>
      </c>
    </row>
    <row r="25" spans="1:37" s="36" customFormat="1" ht="15.75" x14ac:dyDescent="0.25">
      <c r="A25" s="104" t="s">
        <v>139</v>
      </c>
      <c r="B25" s="65" t="s">
        <v>140</v>
      </c>
      <c r="C25" s="52" t="s">
        <v>373</v>
      </c>
      <c r="D25" s="87" t="s">
        <v>564</v>
      </c>
      <c r="E25" s="52" t="s">
        <v>370</v>
      </c>
      <c r="F25" s="52">
        <v>44224</v>
      </c>
      <c r="G25" s="52">
        <v>44464</v>
      </c>
      <c r="H25" s="50">
        <f t="shared" si="4"/>
        <v>7.9734219269102988</v>
      </c>
      <c r="I25" s="182">
        <v>1639962</v>
      </c>
      <c r="J25" s="53"/>
      <c r="K25" s="53"/>
      <c r="L25" s="53"/>
      <c r="M25" s="53"/>
      <c r="N25" s="53"/>
      <c r="O25" s="47"/>
      <c r="P25" s="115">
        <v>103605</v>
      </c>
      <c r="Q25" s="47"/>
      <c r="R25" s="115">
        <v>0</v>
      </c>
      <c r="S25" s="115">
        <v>71204</v>
      </c>
      <c r="T25" s="115">
        <v>158532</v>
      </c>
      <c r="U25" s="115">
        <v>124183</v>
      </c>
      <c r="V25" s="115">
        <f>236910+83209</f>
        <v>320119</v>
      </c>
      <c r="W25" s="115">
        <v>192377</v>
      </c>
      <c r="X25" s="210">
        <v>74223</v>
      </c>
      <c r="Y25" s="275">
        <v>368062</v>
      </c>
      <c r="Z25" s="275">
        <v>165153</v>
      </c>
      <c r="AA25" s="275">
        <v>62504</v>
      </c>
      <c r="AB25" s="53"/>
      <c r="AC25" s="53"/>
      <c r="AD25" s="47"/>
      <c r="AE25" s="53"/>
      <c r="AF25" s="53"/>
      <c r="AG25" s="47"/>
      <c r="AH25" s="53">
        <f t="shared" si="5"/>
        <v>1639962</v>
      </c>
      <c r="AI25" s="51"/>
      <c r="AJ25" s="218">
        <f t="shared" si="6"/>
        <v>0</v>
      </c>
    </row>
    <row r="26" spans="1:37" s="36" customFormat="1" ht="15.75" x14ac:dyDescent="0.25">
      <c r="A26" s="104" t="s">
        <v>150</v>
      </c>
      <c r="B26" s="65" t="s">
        <v>151</v>
      </c>
      <c r="C26" s="52" t="s">
        <v>563</v>
      </c>
      <c r="D26" s="87" t="s">
        <v>45</v>
      </c>
      <c r="E26" s="52" t="s">
        <v>320</v>
      </c>
      <c r="F26" s="52">
        <v>44461</v>
      </c>
      <c r="G26" s="52">
        <v>44701</v>
      </c>
      <c r="H26" s="50">
        <f t="shared" si="4"/>
        <v>7.9734219269102988</v>
      </c>
      <c r="I26" s="182">
        <v>1910050</v>
      </c>
      <c r="J26" s="53"/>
      <c r="K26" s="53"/>
      <c r="L26" s="53"/>
      <c r="M26" s="53"/>
      <c r="N26" s="53"/>
      <c r="O26" s="47"/>
      <c r="P26" s="115">
        <v>0</v>
      </c>
      <c r="Q26" s="47"/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f>119451</f>
        <v>119451</v>
      </c>
      <c r="X26" s="115">
        <v>0</v>
      </c>
      <c r="Y26" s="275">
        <v>175000</v>
      </c>
      <c r="Z26" s="275">
        <v>200000</v>
      </c>
      <c r="AA26" s="275">
        <v>200000</v>
      </c>
      <c r="AB26" s="275">
        <v>200000</v>
      </c>
      <c r="AC26" s="275">
        <v>200000</v>
      </c>
      <c r="AD26" s="47"/>
      <c r="AE26" s="275">
        <v>815599</v>
      </c>
      <c r="AF26" s="53"/>
      <c r="AG26" s="47"/>
      <c r="AH26" s="53">
        <f t="shared" si="5"/>
        <v>1910050</v>
      </c>
      <c r="AI26" s="51"/>
      <c r="AJ26" s="218">
        <f t="shared" si="6"/>
        <v>0</v>
      </c>
    </row>
    <row r="27" spans="1:37" s="36" customFormat="1" ht="15.75" x14ac:dyDescent="0.25">
      <c r="A27" s="104" t="s">
        <v>153</v>
      </c>
      <c r="B27" s="65" t="s">
        <v>424</v>
      </c>
      <c r="C27" s="52" t="s">
        <v>563</v>
      </c>
      <c r="D27" s="87" t="s">
        <v>45</v>
      </c>
      <c r="E27" s="52" t="s">
        <v>320</v>
      </c>
      <c r="F27" s="52">
        <v>44461</v>
      </c>
      <c r="G27" s="52">
        <v>44701</v>
      </c>
      <c r="H27" s="50">
        <f t="shared" si="4"/>
        <v>7.9734219269102988</v>
      </c>
      <c r="I27" s="182">
        <v>288979</v>
      </c>
      <c r="J27" s="53"/>
      <c r="K27" s="53"/>
      <c r="L27" s="53"/>
      <c r="M27" s="53"/>
      <c r="N27" s="53"/>
      <c r="O27" s="47"/>
      <c r="P27" s="115">
        <v>0</v>
      </c>
      <c r="Q27" s="47"/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f>7826</f>
        <v>7826</v>
      </c>
      <c r="X27" s="115">
        <v>0</v>
      </c>
      <c r="Y27" s="275">
        <v>50000</v>
      </c>
      <c r="Z27" s="275">
        <v>50000</v>
      </c>
      <c r="AA27" s="275">
        <v>50000</v>
      </c>
      <c r="AB27" s="275">
        <v>50000</v>
      </c>
      <c r="AC27" s="275">
        <v>50000</v>
      </c>
      <c r="AD27" s="47">
        <v>0</v>
      </c>
      <c r="AE27" s="275">
        <v>31153</v>
      </c>
      <c r="AF27" s="53"/>
      <c r="AG27" s="47"/>
      <c r="AH27" s="53">
        <f t="shared" si="5"/>
        <v>288979</v>
      </c>
      <c r="AI27" s="51"/>
      <c r="AJ27" s="218">
        <f t="shared" si="6"/>
        <v>0</v>
      </c>
    </row>
    <row r="28" spans="1:37" s="36" customFormat="1" ht="15.75" x14ac:dyDescent="0.25">
      <c r="A28" s="104" t="s">
        <v>425</v>
      </c>
      <c r="B28" s="65" t="s">
        <v>426</v>
      </c>
      <c r="C28" s="52" t="s">
        <v>563</v>
      </c>
      <c r="D28" s="87" t="s">
        <v>45</v>
      </c>
      <c r="E28" s="52" t="s">
        <v>320</v>
      </c>
      <c r="F28" s="52">
        <v>44461</v>
      </c>
      <c r="G28" s="52">
        <v>44701</v>
      </c>
      <c r="H28" s="50">
        <f t="shared" si="4"/>
        <v>7.9734219269102988</v>
      </c>
      <c r="I28" s="182">
        <v>366822</v>
      </c>
      <c r="J28" s="53"/>
      <c r="K28" s="53"/>
      <c r="L28" s="53"/>
      <c r="M28" s="53"/>
      <c r="N28" s="53"/>
      <c r="O28" s="47"/>
      <c r="P28" s="115">
        <v>0</v>
      </c>
      <c r="Q28" s="47"/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f>7716</f>
        <v>7716</v>
      </c>
      <c r="X28" s="115">
        <v>0</v>
      </c>
      <c r="Y28" s="275">
        <v>50000</v>
      </c>
      <c r="Z28" s="275">
        <v>75000</v>
      </c>
      <c r="AA28" s="275">
        <v>75000</v>
      </c>
      <c r="AB28" s="275">
        <v>75000</v>
      </c>
      <c r="AC28" s="275">
        <v>75000</v>
      </c>
      <c r="AD28" s="47"/>
      <c r="AE28" s="275">
        <v>9106</v>
      </c>
      <c r="AF28" s="53"/>
      <c r="AG28" s="47"/>
      <c r="AH28" s="53">
        <f t="shared" si="5"/>
        <v>366822</v>
      </c>
      <c r="AI28" s="51"/>
      <c r="AJ28" s="218">
        <f t="shared" si="6"/>
        <v>0</v>
      </c>
    </row>
    <row r="29" spans="1:37" s="36" customFormat="1" ht="15.75" x14ac:dyDescent="0.25">
      <c r="A29" s="34" t="s">
        <v>226</v>
      </c>
      <c r="B29" s="35" t="s">
        <v>442</v>
      </c>
      <c r="C29" s="52" t="s">
        <v>562</v>
      </c>
      <c r="D29" s="52" t="s">
        <v>565</v>
      </c>
      <c r="E29" s="52" t="s">
        <v>320</v>
      </c>
      <c r="F29" s="52">
        <v>44436</v>
      </c>
      <c r="G29" s="52">
        <v>44616</v>
      </c>
      <c r="H29" s="50"/>
      <c r="I29" s="182">
        <v>2259828</v>
      </c>
      <c r="J29" s="53"/>
      <c r="K29" s="53"/>
      <c r="L29" s="53"/>
      <c r="M29" s="53"/>
      <c r="N29" s="53"/>
      <c r="O29" s="47"/>
      <c r="P29" s="115">
        <v>0</v>
      </c>
      <c r="Q29" s="47"/>
      <c r="R29" s="115">
        <v>0</v>
      </c>
      <c r="S29" s="115">
        <v>0</v>
      </c>
      <c r="T29" s="115">
        <v>0</v>
      </c>
      <c r="U29" s="115">
        <v>0</v>
      </c>
      <c r="V29" s="115">
        <v>105517</v>
      </c>
      <c r="W29" s="115">
        <v>201248</v>
      </c>
      <c r="X29" s="210">
        <v>0</v>
      </c>
      <c r="Y29" s="275">
        <v>250000</v>
      </c>
      <c r="Z29" s="275">
        <v>500000</v>
      </c>
      <c r="AA29" s="275">
        <v>500000</v>
      </c>
      <c r="AB29" s="275">
        <v>400000</v>
      </c>
      <c r="AC29" s="275">
        <v>303063</v>
      </c>
      <c r="AD29" s="47"/>
      <c r="AE29" s="58"/>
      <c r="AF29" s="53"/>
      <c r="AG29" s="47"/>
      <c r="AH29" s="53">
        <f t="shared" si="5"/>
        <v>2259828</v>
      </c>
      <c r="AI29" s="51"/>
      <c r="AJ29" s="218">
        <f>I29-AH29</f>
        <v>0</v>
      </c>
    </row>
    <row r="30" spans="1:37" s="36" customFormat="1" ht="15.75" x14ac:dyDescent="0.25">
      <c r="A30" s="97"/>
      <c r="B30" s="98"/>
      <c r="C30" s="91"/>
      <c r="D30" s="91"/>
      <c r="E30" s="91"/>
      <c r="F30" s="91"/>
      <c r="G30" s="91"/>
      <c r="H30" s="92"/>
      <c r="I30" s="59">
        <f>SUM(I18:I29)</f>
        <v>11808240</v>
      </c>
      <c r="J30" s="59"/>
      <c r="K30" s="59"/>
      <c r="L30" s="59"/>
      <c r="M30" s="59"/>
      <c r="N30" s="59"/>
      <c r="O30" s="47"/>
      <c r="P30" s="59">
        <f>SUM(P18:P29)</f>
        <v>2120539</v>
      </c>
      <c r="Q30" s="47"/>
      <c r="R30" s="59">
        <f t="shared" ref="R30:AC30" si="7">SUM(R18:R29)</f>
        <v>434148</v>
      </c>
      <c r="S30" s="59">
        <f t="shared" si="7"/>
        <v>225080</v>
      </c>
      <c r="T30" s="59">
        <f t="shared" si="7"/>
        <v>600062</v>
      </c>
      <c r="U30" s="59">
        <f t="shared" si="7"/>
        <v>685510</v>
      </c>
      <c r="V30" s="59">
        <f t="shared" si="7"/>
        <v>650130</v>
      </c>
      <c r="W30" s="59">
        <f t="shared" si="7"/>
        <v>744986</v>
      </c>
      <c r="X30" s="59">
        <f t="shared" si="7"/>
        <v>178003</v>
      </c>
      <c r="Y30" s="59">
        <f t="shared" si="7"/>
        <v>1406846</v>
      </c>
      <c r="Z30" s="59">
        <f t="shared" si="7"/>
        <v>1240153</v>
      </c>
      <c r="AA30" s="59">
        <f t="shared" si="7"/>
        <v>1137504</v>
      </c>
      <c r="AB30" s="59">
        <f t="shared" si="7"/>
        <v>901358</v>
      </c>
      <c r="AC30" s="59">
        <f t="shared" si="7"/>
        <v>628063</v>
      </c>
      <c r="AD30" s="47"/>
      <c r="AE30" s="59">
        <f>SUM(AE18:AE29)</f>
        <v>855858</v>
      </c>
      <c r="AF30" s="59">
        <f>SUM(AF18:AF29)</f>
        <v>0</v>
      </c>
      <c r="AG30" s="47"/>
      <c r="AH30" s="53">
        <f t="shared" si="5"/>
        <v>11808240</v>
      </c>
      <c r="AI30" s="51"/>
      <c r="AJ30" s="218">
        <f>I30-AH30</f>
        <v>0</v>
      </c>
    </row>
    <row r="31" spans="1:37" s="36" customFormat="1" ht="15.75" x14ac:dyDescent="0.25">
      <c r="A31" s="106" t="s">
        <v>379</v>
      </c>
      <c r="B31" s="107"/>
      <c r="C31" s="101" t="s">
        <v>380</v>
      </c>
      <c r="D31" s="102"/>
      <c r="E31" s="102"/>
      <c r="F31" s="102"/>
      <c r="G31" s="102"/>
      <c r="H31" s="84"/>
      <c r="I31" s="193"/>
      <c r="J31" s="103"/>
      <c r="K31" s="103"/>
      <c r="L31" s="103"/>
      <c r="M31" s="103"/>
      <c r="N31" s="103"/>
      <c r="O31" s="47"/>
      <c r="P31" s="85"/>
      <c r="Q31" s="47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47"/>
      <c r="AE31" s="103"/>
      <c r="AF31" s="103"/>
      <c r="AG31" s="47"/>
      <c r="AH31" s="85"/>
      <c r="AI31" s="51"/>
      <c r="AJ31" s="218"/>
    </row>
    <row r="32" spans="1:37" s="36" customFormat="1" ht="15.75" x14ac:dyDescent="0.25">
      <c r="A32" s="60" t="s">
        <v>65</v>
      </c>
      <c r="B32" s="61" t="s">
        <v>531</v>
      </c>
      <c r="C32" s="52" t="s">
        <v>380</v>
      </c>
      <c r="D32" s="52" t="s">
        <v>381</v>
      </c>
      <c r="E32" s="52" t="s">
        <v>370</v>
      </c>
      <c r="F32" s="52">
        <v>44004</v>
      </c>
      <c r="G32" s="87">
        <v>44301</v>
      </c>
      <c r="H32" s="50">
        <f>((G32-F32)/7)/4.3</f>
        <v>9.867109634551495</v>
      </c>
      <c r="I32" s="182">
        <v>2297711</v>
      </c>
      <c r="J32" s="53"/>
      <c r="K32" s="53"/>
      <c r="L32" s="53"/>
      <c r="M32" s="53"/>
      <c r="N32" s="53"/>
      <c r="O32" s="47"/>
      <c r="P32" s="115">
        <v>1788494</v>
      </c>
      <c r="Q32" s="47"/>
      <c r="R32" s="115">
        <v>93223</v>
      </c>
      <c r="S32" s="115">
        <v>-90886</v>
      </c>
      <c r="T32" s="115">
        <v>247214</v>
      </c>
      <c r="U32" s="115">
        <f>164452+38564</f>
        <v>203016</v>
      </c>
      <c r="V32" s="115">
        <v>0</v>
      </c>
      <c r="W32" s="115">
        <v>88152</v>
      </c>
      <c r="X32" s="210">
        <f>20348+132469</f>
        <v>152817</v>
      </c>
      <c r="Y32" s="275">
        <v>-184319</v>
      </c>
      <c r="Z32" s="53"/>
      <c r="AA32" s="53"/>
      <c r="AB32" s="53"/>
      <c r="AC32" s="53"/>
      <c r="AD32" s="47"/>
      <c r="AE32" s="53"/>
      <c r="AF32" s="53"/>
      <c r="AG32" s="47"/>
      <c r="AH32" s="53">
        <f>SUM(P32:AG32)</f>
        <v>2297711</v>
      </c>
      <c r="AI32" s="51"/>
      <c r="AJ32" s="218">
        <f t="shared" ref="AJ32:AJ40" si="8">I32-AH32</f>
        <v>0</v>
      </c>
      <c r="AK32" s="36" t="s">
        <v>548</v>
      </c>
    </row>
    <row r="33" spans="1:37" s="36" customFormat="1" ht="15.75" x14ac:dyDescent="0.25">
      <c r="A33" s="34" t="s">
        <v>383</v>
      </c>
      <c r="B33" s="35" t="s">
        <v>384</v>
      </c>
      <c r="C33" s="52" t="s">
        <v>380</v>
      </c>
      <c r="D33" s="52" t="s">
        <v>381</v>
      </c>
      <c r="E33" s="52" t="s">
        <v>370</v>
      </c>
      <c r="F33" s="87">
        <v>44290</v>
      </c>
      <c r="G33" s="87">
        <v>44392</v>
      </c>
      <c r="H33" s="50">
        <f>((G33-F33)/7)/4.3</f>
        <v>3.3887043189368771</v>
      </c>
      <c r="I33" s="182">
        <v>683158</v>
      </c>
      <c r="J33" s="53"/>
      <c r="K33" s="53"/>
      <c r="L33" s="53"/>
      <c r="M33" s="53"/>
      <c r="N33" s="53"/>
      <c r="O33" s="47"/>
      <c r="P33" s="115">
        <v>65749</v>
      </c>
      <c r="Q33" s="47"/>
      <c r="R33" s="115">
        <v>0</v>
      </c>
      <c r="S33" s="115">
        <v>0</v>
      </c>
      <c r="T33" s="115">
        <v>72518</v>
      </c>
      <c r="U33" s="115">
        <v>31182</v>
      </c>
      <c r="V33" s="115">
        <v>36101</v>
      </c>
      <c r="W33" s="115">
        <v>79510</v>
      </c>
      <c r="X33" s="115">
        <f>53107+111611</f>
        <v>164718</v>
      </c>
      <c r="Y33" s="275">
        <v>90000</v>
      </c>
      <c r="Z33" s="275">
        <v>90000</v>
      </c>
      <c r="AA33" s="275">
        <v>53380</v>
      </c>
      <c r="AB33" s="58"/>
      <c r="AC33" s="53"/>
      <c r="AD33" s="47"/>
      <c r="AE33" s="53"/>
      <c r="AF33" s="53"/>
      <c r="AG33" s="47"/>
      <c r="AH33" s="53">
        <f t="shared" ref="AH33:AH38" si="9">SUM(P33:AG33)</f>
        <v>683158</v>
      </c>
      <c r="AI33" s="51"/>
      <c r="AJ33" s="218">
        <f t="shared" si="8"/>
        <v>0</v>
      </c>
    </row>
    <row r="34" spans="1:37" s="36" customFormat="1" ht="15.75" x14ac:dyDescent="0.25">
      <c r="A34" s="34" t="s">
        <v>92</v>
      </c>
      <c r="B34" s="35" t="s">
        <v>543</v>
      </c>
      <c r="C34" s="52" t="s">
        <v>380</v>
      </c>
      <c r="D34" s="52" t="s">
        <v>381</v>
      </c>
      <c r="E34" s="52" t="s">
        <v>370</v>
      </c>
      <c r="F34" s="87">
        <v>44256</v>
      </c>
      <c r="G34" s="87">
        <v>44557</v>
      </c>
      <c r="H34" s="50">
        <f>((G34-F34)/7)/4.3</f>
        <v>10</v>
      </c>
      <c r="I34" s="182">
        <v>1436404</v>
      </c>
      <c r="J34" s="53"/>
      <c r="K34" s="53"/>
      <c r="L34" s="53"/>
      <c r="M34" s="53"/>
      <c r="N34" s="53"/>
      <c r="O34" s="47"/>
      <c r="P34" s="115">
        <v>91138</v>
      </c>
      <c r="Q34" s="47"/>
      <c r="R34" s="115">
        <v>0</v>
      </c>
      <c r="S34" s="115">
        <v>0</v>
      </c>
      <c r="T34" s="115">
        <v>0</v>
      </c>
      <c r="U34" s="115">
        <v>55754</v>
      </c>
      <c r="V34" s="115">
        <f>82399+102660</f>
        <v>185059</v>
      </c>
      <c r="W34" s="115">
        <v>486176</v>
      </c>
      <c r="X34" s="115">
        <v>117904</v>
      </c>
      <c r="Y34" s="275">
        <v>150000</v>
      </c>
      <c r="Z34" s="275">
        <v>175000</v>
      </c>
      <c r="AA34" s="275">
        <v>150000</v>
      </c>
      <c r="AB34" s="58">
        <v>25373</v>
      </c>
      <c r="AC34" s="58"/>
      <c r="AD34" s="47"/>
      <c r="AE34" s="58"/>
      <c r="AF34" s="53"/>
      <c r="AG34" s="47"/>
      <c r="AH34" s="53">
        <f t="shared" si="9"/>
        <v>1436404</v>
      </c>
      <c r="AI34" s="51"/>
      <c r="AJ34" s="218">
        <f t="shared" si="8"/>
        <v>0</v>
      </c>
    </row>
    <row r="35" spans="1:37" s="36" customFormat="1" ht="15.75" x14ac:dyDescent="0.25">
      <c r="A35" s="34" t="s">
        <v>96</v>
      </c>
      <c r="B35" s="35" t="s">
        <v>97</v>
      </c>
      <c r="C35" s="52" t="s">
        <v>380</v>
      </c>
      <c r="D35" s="52" t="s">
        <v>381</v>
      </c>
      <c r="E35" s="52" t="s">
        <v>370</v>
      </c>
      <c r="F35" s="87">
        <v>44284</v>
      </c>
      <c r="G35" s="87">
        <v>44524</v>
      </c>
      <c r="H35" s="50">
        <f>((G35-F35)/7)/4.3</f>
        <v>7.9734219269102988</v>
      </c>
      <c r="I35" s="182">
        <v>648253</v>
      </c>
      <c r="J35" s="53"/>
      <c r="K35" s="53"/>
      <c r="L35" s="53"/>
      <c r="M35" s="53"/>
      <c r="N35" s="53"/>
      <c r="O35" s="47"/>
      <c r="P35" s="115">
        <v>124344</v>
      </c>
      <c r="Q35" s="47"/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82390</v>
      </c>
      <c r="X35" s="210">
        <v>0</v>
      </c>
      <c r="Y35" s="275">
        <v>130000</v>
      </c>
      <c r="Z35" s="275">
        <v>65000</v>
      </c>
      <c r="AA35" s="275">
        <v>60000</v>
      </c>
      <c r="AB35" s="275">
        <v>73909</v>
      </c>
      <c r="AC35" s="58">
        <v>112610</v>
      </c>
      <c r="AD35" s="47"/>
      <c r="AE35" s="53"/>
      <c r="AF35" s="53"/>
      <c r="AG35" s="47"/>
      <c r="AH35" s="53">
        <f t="shared" si="9"/>
        <v>648253</v>
      </c>
      <c r="AI35" s="51"/>
      <c r="AJ35" s="218">
        <f t="shared" si="8"/>
        <v>0</v>
      </c>
    </row>
    <row r="36" spans="1:37" s="36" customFormat="1" ht="15.75" x14ac:dyDescent="0.25">
      <c r="A36" s="60" t="s">
        <v>99</v>
      </c>
      <c r="B36" s="61" t="s">
        <v>100</v>
      </c>
      <c r="C36" s="52" t="s">
        <v>380</v>
      </c>
      <c r="D36" s="52" t="s">
        <v>381</v>
      </c>
      <c r="E36" s="52" t="s">
        <v>370</v>
      </c>
      <c r="F36" s="87">
        <v>44284</v>
      </c>
      <c r="G36" s="87">
        <v>44524</v>
      </c>
      <c r="H36" s="50">
        <f>((G36-F36)/7)/4.3</f>
        <v>7.9734219269102988</v>
      </c>
      <c r="I36" s="182">
        <v>400187</v>
      </c>
      <c r="J36" s="53"/>
      <c r="K36" s="53"/>
      <c r="L36" s="53"/>
      <c r="M36" s="53"/>
      <c r="N36" s="53"/>
      <c r="O36" s="47"/>
      <c r="P36" s="115">
        <v>14681</v>
      </c>
      <c r="Q36" s="47"/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50940</v>
      </c>
      <c r="X36" s="210">
        <v>0</v>
      </c>
      <c r="Y36" s="275">
        <v>110000</v>
      </c>
      <c r="Z36" s="275">
        <v>60000</v>
      </c>
      <c r="AA36" s="275">
        <v>60000</v>
      </c>
      <c r="AB36" s="58">
        <v>60000</v>
      </c>
      <c r="AC36" s="58">
        <v>44566</v>
      </c>
      <c r="AD36" s="47"/>
      <c r="AE36" s="53"/>
      <c r="AF36" s="53"/>
      <c r="AG36" s="47"/>
      <c r="AH36" s="53">
        <f t="shared" si="9"/>
        <v>400187</v>
      </c>
      <c r="AI36" s="51"/>
      <c r="AJ36" s="218">
        <f t="shared" si="8"/>
        <v>0</v>
      </c>
    </row>
    <row r="37" spans="1:37" s="36" customFormat="1" ht="15.75" x14ac:dyDescent="0.25">
      <c r="A37" s="111" t="s">
        <v>82</v>
      </c>
      <c r="B37" s="61" t="s">
        <v>532</v>
      </c>
      <c r="C37" s="52"/>
      <c r="D37" s="52"/>
      <c r="E37" s="52"/>
      <c r="F37" s="87"/>
      <c r="G37" s="87"/>
      <c r="H37" s="50"/>
      <c r="I37" s="182">
        <v>446790</v>
      </c>
      <c r="J37" s="53"/>
      <c r="K37" s="53"/>
      <c r="L37" s="53"/>
      <c r="M37" s="53"/>
      <c r="N37" s="53"/>
      <c r="O37" s="47"/>
      <c r="P37" s="115">
        <v>0</v>
      </c>
      <c r="Q37" s="47"/>
      <c r="R37" s="115">
        <v>0</v>
      </c>
      <c r="S37" s="115">
        <v>0</v>
      </c>
      <c r="T37" s="115">
        <v>0</v>
      </c>
      <c r="U37" s="115">
        <v>0</v>
      </c>
      <c r="V37" s="115">
        <v>33274</v>
      </c>
      <c r="W37" s="115">
        <v>0</v>
      </c>
      <c r="X37" s="115">
        <v>0</v>
      </c>
      <c r="Y37" s="58"/>
      <c r="Z37" s="58"/>
      <c r="AA37" s="58"/>
      <c r="AB37" s="58"/>
      <c r="AC37" s="53"/>
      <c r="AD37" s="47"/>
      <c r="AE37" s="275">
        <v>413516</v>
      </c>
      <c r="AF37" s="53"/>
      <c r="AG37" s="47"/>
      <c r="AH37" s="53">
        <f t="shared" si="9"/>
        <v>446790</v>
      </c>
      <c r="AI37" s="51"/>
      <c r="AJ37" s="218">
        <f t="shared" si="8"/>
        <v>0</v>
      </c>
    </row>
    <row r="38" spans="1:37" s="36" customFormat="1" ht="15.75" x14ac:dyDescent="0.25">
      <c r="A38" s="93"/>
      <c r="B38" s="94"/>
      <c r="C38" s="91"/>
      <c r="D38" s="91"/>
      <c r="E38" s="91"/>
      <c r="F38" s="91"/>
      <c r="G38" s="91"/>
      <c r="H38" s="92"/>
      <c r="I38" s="59">
        <f>SUM(I32:I37)</f>
        <v>5912503</v>
      </c>
      <c r="J38" s="59"/>
      <c r="K38" s="59"/>
      <c r="L38" s="59"/>
      <c r="M38" s="59"/>
      <c r="N38" s="59"/>
      <c r="O38" s="47"/>
      <c r="P38" s="59">
        <f>SUM(P32:P37)</f>
        <v>2084406</v>
      </c>
      <c r="Q38" s="47"/>
      <c r="R38" s="59">
        <f t="shared" ref="R38:AF38" si="10">SUM(R32:R37)</f>
        <v>93223</v>
      </c>
      <c r="S38" s="59">
        <f t="shared" si="10"/>
        <v>-90886</v>
      </c>
      <c r="T38" s="59">
        <f t="shared" si="10"/>
        <v>319732</v>
      </c>
      <c r="U38" s="59">
        <f t="shared" si="10"/>
        <v>289952</v>
      </c>
      <c r="V38" s="59">
        <f t="shared" si="10"/>
        <v>254434</v>
      </c>
      <c r="W38" s="59">
        <f t="shared" si="10"/>
        <v>787168</v>
      </c>
      <c r="X38" s="59">
        <f t="shared" si="10"/>
        <v>435439</v>
      </c>
      <c r="Y38" s="59">
        <f t="shared" si="10"/>
        <v>295681</v>
      </c>
      <c r="Z38" s="59">
        <f t="shared" si="10"/>
        <v>390000</v>
      </c>
      <c r="AA38" s="59">
        <f t="shared" si="10"/>
        <v>323380</v>
      </c>
      <c r="AB38" s="59">
        <f t="shared" si="10"/>
        <v>159282</v>
      </c>
      <c r="AC38" s="59">
        <f t="shared" si="10"/>
        <v>157176</v>
      </c>
      <c r="AD38" s="47"/>
      <c r="AE38" s="59">
        <f t="shared" si="10"/>
        <v>413516</v>
      </c>
      <c r="AF38" s="59">
        <f t="shared" si="10"/>
        <v>0</v>
      </c>
      <c r="AG38" s="47"/>
      <c r="AH38" s="53">
        <f t="shared" si="9"/>
        <v>5912503</v>
      </c>
      <c r="AI38" s="51"/>
      <c r="AJ38" s="218">
        <f t="shared" si="8"/>
        <v>0</v>
      </c>
    </row>
    <row r="39" spans="1:37" s="36" customFormat="1" ht="15.75" x14ac:dyDescent="0.25">
      <c r="A39" s="106" t="s">
        <v>514</v>
      </c>
      <c r="B39" s="107"/>
      <c r="C39" s="101" t="s">
        <v>373</v>
      </c>
      <c r="D39" s="102"/>
      <c r="E39" s="102"/>
      <c r="F39" s="102"/>
      <c r="G39" s="102"/>
      <c r="H39" s="84"/>
      <c r="I39" s="193"/>
      <c r="J39" s="103"/>
      <c r="K39" s="103"/>
      <c r="L39" s="103"/>
      <c r="M39" s="103"/>
      <c r="N39" s="103"/>
      <c r="O39" s="47"/>
      <c r="P39" s="85"/>
      <c r="Q39" s="47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47"/>
      <c r="AE39" s="103"/>
      <c r="AF39" s="103"/>
      <c r="AG39" s="47"/>
      <c r="AH39" s="85"/>
      <c r="AI39" s="51"/>
      <c r="AJ39" s="218">
        <f t="shared" si="8"/>
        <v>0</v>
      </c>
    </row>
    <row r="40" spans="1:37" s="36" customFormat="1" ht="15.75" x14ac:dyDescent="0.25">
      <c r="A40" s="34" t="s">
        <v>185</v>
      </c>
      <c r="B40" s="35" t="s">
        <v>186</v>
      </c>
      <c r="C40" s="52" t="s">
        <v>45</v>
      </c>
      <c r="D40" s="52" t="s">
        <v>45</v>
      </c>
      <c r="E40" s="52" t="s">
        <v>320</v>
      </c>
      <c r="F40" s="52">
        <v>44372</v>
      </c>
      <c r="G40" s="52">
        <v>44673</v>
      </c>
      <c r="H40" s="50">
        <f>((G40-F40)/7)/4.3</f>
        <v>10</v>
      </c>
      <c r="I40" s="182">
        <v>1961016</v>
      </c>
      <c r="J40" s="53"/>
      <c r="K40" s="53"/>
      <c r="L40" s="53"/>
      <c r="M40" s="53"/>
      <c r="N40" s="53"/>
      <c r="O40" s="47"/>
      <c r="P40" s="115">
        <v>0</v>
      </c>
      <c r="Q40" s="47"/>
      <c r="R40" s="115">
        <v>0</v>
      </c>
      <c r="S40" s="115"/>
      <c r="T40" s="115"/>
      <c r="U40" s="115">
        <v>233134</v>
      </c>
      <c r="V40" s="115">
        <v>0</v>
      </c>
      <c r="W40" s="115">
        <v>0</v>
      </c>
      <c r="X40" s="115">
        <v>72994</v>
      </c>
      <c r="Y40" s="275">
        <v>150000</v>
      </c>
      <c r="Z40" s="275">
        <v>150000</v>
      </c>
      <c r="AA40" s="275">
        <v>200000</v>
      </c>
      <c r="AB40" s="275">
        <v>200000</v>
      </c>
      <c r="AC40" s="275">
        <v>200000</v>
      </c>
      <c r="AD40" s="47"/>
      <c r="AE40" s="275">
        <v>754888</v>
      </c>
      <c r="AF40" s="53"/>
      <c r="AG40" s="47"/>
      <c r="AH40" s="53">
        <f>SUM(P40:AG40)</f>
        <v>1961016</v>
      </c>
      <c r="AI40" s="51"/>
      <c r="AJ40" s="55">
        <f t="shared" si="8"/>
        <v>0</v>
      </c>
    </row>
    <row r="41" spans="1:37" s="36" customFormat="1" ht="15.75" x14ac:dyDescent="0.25">
      <c r="A41" s="93"/>
      <c r="B41" s="94"/>
      <c r="C41" s="91"/>
      <c r="D41" s="91"/>
      <c r="E41" s="91"/>
      <c r="F41" s="91"/>
      <c r="G41" s="91"/>
      <c r="H41" s="92"/>
      <c r="I41" s="59">
        <f>SUM(I40:I40)</f>
        <v>1961016</v>
      </c>
      <c r="J41" s="59"/>
      <c r="K41" s="59"/>
      <c r="L41" s="59"/>
      <c r="M41" s="59"/>
      <c r="N41" s="59"/>
      <c r="O41" s="47"/>
      <c r="P41" s="59">
        <f>SUM(P40:P40)</f>
        <v>0</v>
      </c>
      <c r="Q41" s="47"/>
      <c r="R41" s="59">
        <f t="shared" ref="R41:AC41" si="11">SUM(R40:R40)</f>
        <v>0</v>
      </c>
      <c r="S41" s="59">
        <f t="shared" si="11"/>
        <v>0</v>
      </c>
      <c r="T41" s="59">
        <f t="shared" si="11"/>
        <v>0</v>
      </c>
      <c r="U41" s="59">
        <f t="shared" si="11"/>
        <v>233134</v>
      </c>
      <c r="V41" s="59">
        <f t="shared" si="11"/>
        <v>0</v>
      </c>
      <c r="W41" s="59">
        <f t="shared" si="11"/>
        <v>0</v>
      </c>
      <c r="X41" s="59">
        <f t="shared" si="11"/>
        <v>72994</v>
      </c>
      <c r="Y41" s="59">
        <f t="shared" si="11"/>
        <v>150000</v>
      </c>
      <c r="Z41" s="59">
        <f t="shared" si="11"/>
        <v>150000</v>
      </c>
      <c r="AA41" s="59">
        <f t="shared" si="11"/>
        <v>200000</v>
      </c>
      <c r="AB41" s="59">
        <f t="shared" si="11"/>
        <v>200000</v>
      </c>
      <c r="AC41" s="59">
        <f t="shared" si="11"/>
        <v>200000</v>
      </c>
      <c r="AD41" s="47"/>
      <c r="AE41" s="59">
        <f>SUM(AE40:AE40)</f>
        <v>754888</v>
      </c>
      <c r="AF41" s="59">
        <f>SUM(AF40:AF40)</f>
        <v>0</v>
      </c>
      <c r="AG41" s="47"/>
      <c r="AH41" s="53">
        <f>SUM(P41:AG41)</f>
        <v>1961016</v>
      </c>
      <c r="AI41" s="51"/>
      <c r="AJ41" s="55">
        <f>I41-AH41</f>
        <v>0</v>
      </c>
    </row>
    <row r="42" spans="1:37" s="36" customFormat="1" ht="15.75" x14ac:dyDescent="0.25">
      <c r="A42" s="106" t="s">
        <v>234</v>
      </c>
      <c r="B42" s="107"/>
      <c r="C42" s="101" t="s">
        <v>373</v>
      </c>
      <c r="D42" s="102"/>
      <c r="E42" s="102"/>
      <c r="F42" s="102"/>
      <c r="G42" s="102"/>
      <c r="H42" s="84"/>
      <c r="I42" s="193"/>
      <c r="J42" s="103"/>
      <c r="K42" s="103"/>
      <c r="L42" s="103"/>
      <c r="M42" s="103"/>
      <c r="N42" s="103"/>
      <c r="O42" s="47"/>
      <c r="P42" s="85"/>
      <c r="Q42" s="47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47"/>
      <c r="AE42" s="103"/>
      <c r="AF42" s="103"/>
      <c r="AG42" s="47"/>
      <c r="AH42" s="85"/>
      <c r="AI42" s="51"/>
      <c r="AJ42" s="218"/>
    </row>
    <row r="43" spans="1:37" s="36" customFormat="1" ht="15.75" x14ac:dyDescent="0.25">
      <c r="A43" s="34" t="s">
        <v>238</v>
      </c>
      <c r="B43" s="35" t="s">
        <v>239</v>
      </c>
      <c r="C43" s="52" t="s">
        <v>45</v>
      </c>
      <c r="D43" s="52" t="s">
        <v>45</v>
      </c>
      <c r="E43" s="52" t="s">
        <v>320</v>
      </c>
      <c r="F43" s="52">
        <v>44372</v>
      </c>
      <c r="G43" s="52">
        <v>44673</v>
      </c>
      <c r="H43" s="50">
        <f>((G43-F43)/7)/4.3</f>
        <v>10</v>
      </c>
      <c r="I43" s="182">
        <v>1219262</v>
      </c>
      <c r="J43" s="53"/>
      <c r="K43" s="53"/>
      <c r="L43" s="53"/>
      <c r="M43" s="53"/>
      <c r="N43" s="53"/>
      <c r="O43" s="47"/>
      <c r="P43" s="115">
        <v>1206322</v>
      </c>
      <c r="Q43" s="47"/>
      <c r="R43" s="115">
        <v>11381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210">
        <v>0</v>
      </c>
      <c r="Y43" s="275">
        <v>1559</v>
      </c>
      <c r="Z43" s="58"/>
      <c r="AA43" s="58"/>
      <c r="AB43" s="58"/>
      <c r="AC43" s="58"/>
      <c r="AD43" s="47"/>
      <c r="AE43" s="58"/>
      <c r="AF43" s="53"/>
      <c r="AG43" s="47"/>
      <c r="AH43" s="53">
        <f>SUM(P43:AG43)</f>
        <v>1219262</v>
      </c>
      <c r="AI43" s="51"/>
      <c r="AJ43" s="218">
        <f t="shared" ref="AJ43:AJ50" si="12">I43-AH43</f>
        <v>0</v>
      </c>
      <c r="AK43" s="36" t="s">
        <v>550</v>
      </c>
    </row>
    <row r="44" spans="1:37" s="36" customFormat="1" ht="15.75" x14ac:dyDescent="0.25">
      <c r="A44" s="34" t="s">
        <v>273</v>
      </c>
      <c r="B44" s="35" t="s">
        <v>274</v>
      </c>
      <c r="C44" s="52"/>
      <c r="D44" s="52"/>
      <c r="E44" s="52"/>
      <c r="F44" s="52"/>
      <c r="G44" s="52"/>
      <c r="H44" s="50"/>
      <c r="I44" s="182">
        <v>577676</v>
      </c>
      <c r="J44" s="53"/>
      <c r="K44" s="53"/>
      <c r="L44" s="53"/>
      <c r="M44" s="53"/>
      <c r="N44" s="53"/>
      <c r="O44" s="47"/>
      <c r="P44" s="115">
        <v>568341</v>
      </c>
      <c r="Q44" s="47"/>
      <c r="R44" s="115">
        <v>2335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210">
        <v>0</v>
      </c>
      <c r="Y44" s="275">
        <v>7000</v>
      </c>
      <c r="Z44" s="58"/>
      <c r="AA44" s="53"/>
      <c r="AB44" s="53"/>
      <c r="AC44" s="53"/>
      <c r="AD44" s="47"/>
      <c r="AE44" s="58"/>
      <c r="AF44" s="58"/>
      <c r="AG44" s="47"/>
      <c r="AH44" s="53">
        <f>SUM(P44:AG44)</f>
        <v>577676</v>
      </c>
      <c r="AI44" s="51"/>
      <c r="AJ44" s="218">
        <f t="shared" si="12"/>
        <v>0</v>
      </c>
      <c r="AK44" s="36" t="s">
        <v>550</v>
      </c>
    </row>
    <row r="45" spans="1:37" s="36" customFormat="1" ht="15.75" x14ac:dyDescent="0.25">
      <c r="A45" s="93"/>
      <c r="B45" s="94"/>
      <c r="C45" s="91"/>
      <c r="D45" s="91"/>
      <c r="E45" s="91"/>
      <c r="F45" s="91"/>
      <c r="G45" s="91"/>
      <c r="H45" s="92"/>
      <c r="I45" s="59">
        <f>SUM(I43:I44)</f>
        <v>1796938</v>
      </c>
      <c r="J45" s="59"/>
      <c r="K45" s="59"/>
      <c r="L45" s="59"/>
      <c r="M45" s="59"/>
      <c r="N45" s="59"/>
      <c r="O45" s="47"/>
      <c r="P45" s="59">
        <f>SUM(P43:P44)</f>
        <v>1774663</v>
      </c>
      <c r="Q45" s="47"/>
      <c r="R45" s="59">
        <f t="shared" ref="R45:AC45" si="13">SUM(R43:R44)</f>
        <v>13716</v>
      </c>
      <c r="S45" s="59">
        <f t="shared" si="13"/>
        <v>0</v>
      </c>
      <c r="T45" s="59">
        <f t="shared" si="13"/>
        <v>0</v>
      </c>
      <c r="U45" s="59">
        <f t="shared" si="13"/>
        <v>0</v>
      </c>
      <c r="V45" s="59">
        <f t="shared" si="13"/>
        <v>0</v>
      </c>
      <c r="W45" s="59">
        <f t="shared" si="13"/>
        <v>0</v>
      </c>
      <c r="X45" s="59">
        <f t="shared" si="13"/>
        <v>0</v>
      </c>
      <c r="Y45" s="59">
        <f t="shared" si="13"/>
        <v>8559</v>
      </c>
      <c r="Z45" s="59">
        <f t="shared" si="13"/>
        <v>0</v>
      </c>
      <c r="AA45" s="59">
        <f t="shared" si="13"/>
        <v>0</v>
      </c>
      <c r="AB45" s="59">
        <f t="shared" si="13"/>
        <v>0</v>
      </c>
      <c r="AC45" s="59">
        <f t="shared" si="13"/>
        <v>0</v>
      </c>
      <c r="AD45" s="47"/>
      <c r="AE45" s="59">
        <f>SUM(AE43:AE44)</f>
        <v>0</v>
      </c>
      <c r="AF45" s="59">
        <f>SUM(AF43:AF44)</f>
        <v>0</v>
      </c>
      <c r="AG45" s="47"/>
      <c r="AH45" s="53">
        <f>SUM(P45:AG45)</f>
        <v>1796938</v>
      </c>
      <c r="AI45" s="51"/>
      <c r="AJ45" s="55">
        <f t="shared" si="12"/>
        <v>0</v>
      </c>
    </row>
    <row r="46" spans="1:37" s="36" customFormat="1" ht="15.75" x14ac:dyDescent="0.25">
      <c r="A46" s="106" t="s">
        <v>52</v>
      </c>
      <c r="B46" s="107"/>
      <c r="C46" s="101" t="s">
        <v>373</v>
      </c>
      <c r="D46" s="102"/>
      <c r="E46" s="102"/>
      <c r="F46" s="102"/>
      <c r="G46" s="102"/>
      <c r="H46" s="84"/>
      <c r="I46" s="193"/>
      <c r="J46" s="103"/>
      <c r="K46" s="103"/>
      <c r="L46" s="103"/>
      <c r="M46" s="103"/>
      <c r="N46" s="103"/>
      <c r="O46" s="47"/>
      <c r="P46" s="85"/>
      <c r="Q46" s="47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47"/>
      <c r="AE46" s="103"/>
      <c r="AF46" s="103"/>
      <c r="AG46" s="47"/>
      <c r="AH46" s="85"/>
      <c r="AI46" s="51"/>
      <c r="AJ46" s="218">
        <f t="shared" si="12"/>
        <v>0</v>
      </c>
    </row>
    <row r="47" spans="1:37" s="36" customFormat="1" ht="15.75" x14ac:dyDescent="0.25">
      <c r="A47" s="60" t="s">
        <v>49</v>
      </c>
      <c r="B47" s="61" t="s">
        <v>374</v>
      </c>
      <c r="C47" s="52" t="s">
        <v>373</v>
      </c>
      <c r="D47" s="52" t="s">
        <v>375</v>
      </c>
      <c r="E47" s="52" t="s">
        <v>370</v>
      </c>
      <c r="F47" s="87">
        <v>44033</v>
      </c>
      <c r="G47" s="87">
        <v>44371</v>
      </c>
      <c r="H47" s="88">
        <f>((G47-F47)/7)/4.3</f>
        <v>11.22923588039867</v>
      </c>
      <c r="I47" s="181">
        <v>9534114</v>
      </c>
      <c r="J47" s="53">
        <v>8913792</v>
      </c>
      <c r="K47" s="53">
        <f>I47-J47</f>
        <v>620322</v>
      </c>
      <c r="L47" s="53">
        <v>8917546</v>
      </c>
      <c r="M47" s="53">
        <f>I47-L47</f>
        <v>616568</v>
      </c>
      <c r="N47" s="53">
        <f>K47-M47</f>
        <v>3754</v>
      </c>
      <c r="O47" s="47"/>
      <c r="P47" s="115">
        <v>4251267</v>
      </c>
      <c r="Q47" s="47"/>
      <c r="R47" s="115">
        <v>974630</v>
      </c>
      <c r="S47" s="115">
        <v>965506</v>
      </c>
      <c r="T47" s="115">
        <v>726926</v>
      </c>
      <c r="U47" s="115">
        <v>1007479</v>
      </c>
      <c r="V47" s="115">
        <v>748387</v>
      </c>
      <c r="W47" s="115">
        <v>599421</v>
      </c>
      <c r="X47" s="115">
        <v>93601</v>
      </c>
      <c r="Y47" s="275">
        <v>166897</v>
      </c>
      <c r="Z47" s="53"/>
      <c r="AA47" s="53"/>
      <c r="AB47" s="53"/>
      <c r="AC47" s="53"/>
      <c r="AD47" s="47"/>
      <c r="AE47" s="53"/>
      <c r="AF47" s="53"/>
      <c r="AG47" s="47"/>
      <c r="AH47" s="53">
        <f>SUM(P47:AG47)</f>
        <v>9534114</v>
      </c>
      <c r="AI47" s="51"/>
      <c r="AJ47" s="218">
        <f t="shared" si="12"/>
        <v>0</v>
      </c>
    </row>
    <row r="48" spans="1:37" s="36" customFormat="1" ht="15.75" x14ac:dyDescent="0.25">
      <c r="A48" s="34" t="s">
        <v>55</v>
      </c>
      <c r="B48" s="35" t="s">
        <v>376</v>
      </c>
      <c r="C48" s="52" t="s">
        <v>373</v>
      </c>
      <c r="D48" s="52" t="s">
        <v>401</v>
      </c>
      <c r="E48" s="52" t="s">
        <v>370</v>
      </c>
      <c r="F48" s="87">
        <v>44124</v>
      </c>
      <c r="G48" s="87">
        <v>44354</v>
      </c>
      <c r="H48" s="88">
        <f>((G48-F48)/7)/4.3</f>
        <v>7.6411960132890364</v>
      </c>
      <c r="I48" s="181">
        <v>1208821</v>
      </c>
      <c r="J48" s="53">
        <v>1021270</v>
      </c>
      <c r="K48" s="53">
        <f>I48-J48</f>
        <v>187551</v>
      </c>
      <c r="L48" s="53">
        <v>945919</v>
      </c>
      <c r="M48" s="53">
        <f>I48-L48</f>
        <v>262902</v>
      </c>
      <c r="N48" s="53">
        <f>K48-M48</f>
        <v>-75351</v>
      </c>
      <c r="O48" s="47"/>
      <c r="P48" s="115">
        <v>501155</v>
      </c>
      <c r="Q48" s="47"/>
      <c r="R48" s="115">
        <v>186495</v>
      </c>
      <c r="S48" s="115">
        <v>202246</v>
      </c>
      <c r="T48" s="115">
        <v>66602</v>
      </c>
      <c r="U48" s="115">
        <v>48430</v>
      </c>
      <c r="V48" s="115">
        <v>7649</v>
      </c>
      <c r="W48" s="115">
        <v>118643</v>
      </c>
      <c r="X48" s="115">
        <v>54525</v>
      </c>
      <c r="Y48" s="275">
        <v>23076</v>
      </c>
      <c r="Z48" s="53"/>
      <c r="AA48" s="53"/>
      <c r="AB48" s="53"/>
      <c r="AC48" s="53"/>
      <c r="AD48" s="47"/>
      <c r="AE48" s="53"/>
      <c r="AF48" s="53"/>
      <c r="AG48" s="47"/>
      <c r="AH48" s="53">
        <f>SUM(P48:AG48)</f>
        <v>1208821</v>
      </c>
      <c r="AI48" s="51"/>
      <c r="AJ48" s="218">
        <f t="shared" si="12"/>
        <v>0</v>
      </c>
      <c r="AK48" s="36" t="s">
        <v>550</v>
      </c>
    </row>
    <row r="49" spans="1:36" s="36" customFormat="1" ht="15.75" x14ac:dyDescent="0.25">
      <c r="A49" s="34" t="s">
        <v>60</v>
      </c>
      <c r="B49" s="35" t="s">
        <v>377</v>
      </c>
      <c r="C49" s="52" t="s">
        <v>373</v>
      </c>
      <c r="D49" s="52" t="s">
        <v>378</v>
      </c>
      <c r="E49" s="52" t="s">
        <v>370</v>
      </c>
      <c r="F49" s="87">
        <v>44119</v>
      </c>
      <c r="G49" s="87">
        <v>44546</v>
      </c>
      <c r="H49" s="88">
        <f>((G49-F49)/7)/4.3</f>
        <v>14.186046511627907</v>
      </c>
      <c r="I49" s="181">
        <v>13107911</v>
      </c>
      <c r="J49" s="53">
        <v>12555112</v>
      </c>
      <c r="K49" s="53">
        <f>I49-J49</f>
        <v>552799</v>
      </c>
      <c r="L49" s="53">
        <v>12611053</v>
      </c>
      <c r="M49" s="53">
        <f>I49-L49</f>
        <v>496858</v>
      </c>
      <c r="N49" s="53">
        <f>K49-M49</f>
        <v>55941</v>
      </c>
      <c r="O49" s="47"/>
      <c r="P49" s="115">
        <v>802663</v>
      </c>
      <c r="Q49" s="47"/>
      <c r="R49" s="115">
        <v>1051823</v>
      </c>
      <c r="S49" s="115">
        <v>822272</v>
      </c>
      <c r="T49" s="115">
        <v>1170091</v>
      </c>
      <c r="U49" s="115">
        <v>1068761</v>
      </c>
      <c r="V49" s="115">
        <v>823660</v>
      </c>
      <c r="W49" s="115">
        <v>1536928</v>
      </c>
      <c r="X49" s="115">
        <v>1558003</v>
      </c>
      <c r="Y49" s="275">
        <v>1270563</v>
      </c>
      <c r="Z49" s="275">
        <v>950000</v>
      </c>
      <c r="AA49" s="275">
        <v>950000</v>
      </c>
      <c r="AB49" s="275">
        <v>800000</v>
      </c>
      <c r="AC49" s="275">
        <v>303147</v>
      </c>
      <c r="AD49" s="47"/>
      <c r="AE49" s="58"/>
      <c r="AF49" s="53"/>
      <c r="AG49" s="47"/>
      <c r="AH49" s="53">
        <f>SUM(P49:AG49)</f>
        <v>13107911</v>
      </c>
      <c r="AI49" s="51"/>
      <c r="AJ49" s="218">
        <f t="shared" si="12"/>
        <v>0</v>
      </c>
    </row>
    <row r="50" spans="1:36" s="36" customFormat="1" ht="15.75" x14ac:dyDescent="0.25">
      <c r="A50" s="93"/>
      <c r="B50" s="94"/>
      <c r="C50" s="91"/>
      <c r="D50" s="91"/>
      <c r="E50" s="91"/>
      <c r="F50" s="91"/>
      <c r="G50" s="91"/>
      <c r="H50" s="92"/>
      <c r="I50" s="243">
        <f>SUM(I47:I49)</f>
        <v>23850846</v>
      </c>
      <c r="J50" s="59"/>
      <c r="K50" s="59"/>
      <c r="L50" s="59"/>
      <c r="M50" s="59"/>
      <c r="N50" s="59"/>
      <c r="O50" s="47"/>
      <c r="P50" s="59">
        <f>SUM(P47:P49)</f>
        <v>5555085</v>
      </c>
      <c r="Q50" s="47"/>
      <c r="R50" s="59">
        <f t="shared" ref="R50:AC50" si="14">SUM(R47:R49)</f>
        <v>2212948</v>
      </c>
      <c r="S50" s="59">
        <f t="shared" si="14"/>
        <v>1990024</v>
      </c>
      <c r="T50" s="59">
        <f t="shared" si="14"/>
        <v>1963619</v>
      </c>
      <c r="U50" s="59">
        <f t="shared" si="14"/>
        <v>2124670</v>
      </c>
      <c r="V50" s="59">
        <f t="shared" si="14"/>
        <v>1579696</v>
      </c>
      <c r="W50" s="59">
        <f t="shared" si="14"/>
        <v>2254992</v>
      </c>
      <c r="X50" s="59">
        <f t="shared" si="14"/>
        <v>1706129</v>
      </c>
      <c r="Y50" s="59">
        <f t="shared" si="14"/>
        <v>1460536</v>
      </c>
      <c r="Z50" s="59">
        <f t="shared" si="14"/>
        <v>950000</v>
      </c>
      <c r="AA50" s="59">
        <f t="shared" si="14"/>
        <v>950000</v>
      </c>
      <c r="AB50" s="59">
        <f t="shared" si="14"/>
        <v>800000</v>
      </c>
      <c r="AC50" s="59">
        <f t="shared" si="14"/>
        <v>303147</v>
      </c>
      <c r="AD50" s="47"/>
      <c r="AE50" s="59">
        <f>SUM(AE46:AE49)</f>
        <v>0</v>
      </c>
      <c r="AF50" s="59">
        <f>SUM(AF46:AF49)</f>
        <v>0</v>
      </c>
      <c r="AG50" s="47"/>
      <c r="AH50" s="53">
        <f>SUM(P50:AG50)</f>
        <v>23850846</v>
      </c>
      <c r="AI50" s="51"/>
      <c r="AJ50" s="218">
        <f t="shared" si="12"/>
        <v>0</v>
      </c>
    </row>
    <row r="51" spans="1:36" s="36" customFormat="1" ht="15.75" x14ac:dyDescent="0.25">
      <c r="A51" s="106" t="s">
        <v>517</v>
      </c>
      <c r="B51" s="107"/>
      <c r="C51" s="101" t="s">
        <v>373</v>
      </c>
      <c r="D51" s="102"/>
      <c r="E51" s="102"/>
      <c r="F51" s="102"/>
      <c r="G51" s="102"/>
      <c r="H51" s="84"/>
      <c r="I51" s="193"/>
      <c r="J51" s="103"/>
      <c r="K51" s="103"/>
      <c r="L51" s="103"/>
      <c r="M51" s="103"/>
      <c r="N51" s="103"/>
      <c r="O51" s="47"/>
      <c r="P51" s="85"/>
      <c r="Q51" s="47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47"/>
      <c r="AE51" s="103"/>
      <c r="AF51" s="103"/>
      <c r="AG51" s="47"/>
      <c r="AH51" s="85"/>
      <c r="AI51" s="51"/>
      <c r="AJ51" s="55"/>
    </row>
    <row r="52" spans="1:36" s="36" customFormat="1" ht="15.75" x14ac:dyDescent="0.25">
      <c r="A52" s="34" t="s">
        <v>546</v>
      </c>
      <c r="B52" s="34" t="s">
        <v>494</v>
      </c>
      <c r="C52" s="52"/>
      <c r="D52" s="52"/>
      <c r="E52" s="52"/>
      <c r="F52" s="52"/>
      <c r="G52" s="52"/>
      <c r="H52" s="50"/>
      <c r="I52" s="182">
        <v>46806</v>
      </c>
      <c r="J52" s="53"/>
      <c r="K52" s="53"/>
      <c r="L52" s="53"/>
      <c r="M52" s="53"/>
      <c r="N52" s="53"/>
      <c r="O52" s="47"/>
      <c r="P52" s="115">
        <v>0</v>
      </c>
      <c r="Q52" s="47"/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275">
        <v>46806</v>
      </c>
      <c r="Z52" s="53"/>
      <c r="AA52" s="53"/>
      <c r="AB52" s="53"/>
      <c r="AC52" s="53"/>
      <c r="AD52" s="47"/>
      <c r="AE52" s="53"/>
      <c r="AF52" s="53"/>
      <c r="AG52" s="47"/>
      <c r="AH52" s="53">
        <f t="shared" ref="AH52:AH60" si="15">SUM(P52:AG52)</f>
        <v>46806</v>
      </c>
      <c r="AI52" s="51"/>
      <c r="AJ52" s="218">
        <f t="shared" ref="AJ52:AJ59" si="16">I52-AH52</f>
        <v>0</v>
      </c>
    </row>
    <row r="53" spans="1:36" s="36" customFormat="1" ht="15.75" x14ac:dyDescent="0.25">
      <c r="A53" s="34" t="s">
        <v>534</v>
      </c>
      <c r="B53" s="35" t="s">
        <v>533</v>
      </c>
      <c r="C53" s="52"/>
      <c r="D53" s="52"/>
      <c r="E53" s="52"/>
      <c r="F53" s="52"/>
      <c r="G53" s="52"/>
      <c r="H53" s="50"/>
      <c r="I53" s="182">
        <v>67027</v>
      </c>
      <c r="J53" s="53"/>
      <c r="K53" s="53"/>
      <c r="L53" s="53"/>
      <c r="M53" s="53"/>
      <c r="N53" s="53"/>
      <c r="O53" s="47"/>
      <c r="P53" s="115">
        <v>0</v>
      </c>
      <c r="Q53" s="47"/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67027</v>
      </c>
      <c r="X53" s="115">
        <v>0</v>
      </c>
      <c r="Y53" s="58"/>
      <c r="Z53" s="53"/>
      <c r="AA53" s="53"/>
      <c r="AB53" s="53"/>
      <c r="AC53" s="53"/>
      <c r="AD53" s="47"/>
      <c r="AE53" s="53"/>
      <c r="AF53" s="53"/>
      <c r="AG53" s="47"/>
      <c r="AH53" s="53">
        <f t="shared" si="15"/>
        <v>67027</v>
      </c>
      <c r="AI53" s="51"/>
      <c r="AJ53" s="218">
        <f t="shared" si="16"/>
        <v>0</v>
      </c>
    </row>
    <row r="54" spans="1:36" s="36" customFormat="1" ht="15.75" x14ac:dyDescent="0.25">
      <c r="A54" s="60" t="s">
        <v>113</v>
      </c>
      <c r="B54" s="61" t="s">
        <v>420</v>
      </c>
      <c r="C54" s="52" t="s">
        <v>386</v>
      </c>
      <c r="D54" s="52" t="s">
        <v>386</v>
      </c>
      <c r="E54" s="52" t="s">
        <v>370</v>
      </c>
      <c r="F54" s="52">
        <v>44256</v>
      </c>
      <c r="G54" s="52">
        <v>44347</v>
      </c>
      <c r="H54" s="50">
        <f>((G54-F54)/7)/4.3</f>
        <v>3.0232558139534884</v>
      </c>
      <c r="I54" s="182">
        <v>52095</v>
      </c>
      <c r="J54" s="53"/>
      <c r="K54" s="53"/>
      <c r="L54" s="53"/>
      <c r="M54" s="53"/>
      <c r="N54" s="53"/>
      <c r="O54" s="47"/>
      <c r="P54" s="115">
        <v>0</v>
      </c>
      <c r="Q54" s="47"/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52095</v>
      </c>
      <c r="X54" s="115">
        <v>0</v>
      </c>
      <c r="Y54" s="53"/>
      <c r="Z54" s="53"/>
      <c r="AA54" s="53"/>
      <c r="AB54" s="53"/>
      <c r="AC54" s="53"/>
      <c r="AD54" s="47"/>
      <c r="AE54" s="53"/>
      <c r="AF54" s="53"/>
      <c r="AG54" s="47"/>
      <c r="AH54" s="53">
        <f t="shared" si="15"/>
        <v>52095</v>
      </c>
      <c r="AI54" s="51"/>
      <c r="AJ54" s="218">
        <f t="shared" si="16"/>
        <v>0</v>
      </c>
    </row>
    <row r="55" spans="1:36" s="36" customFormat="1" ht="15.75" x14ac:dyDescent="0.25">
      <c r="A55" s="34" t="s">
        <v>199</v>
      </c>
      <c r="B55" s="34" t="s">
        <v>535</v>
      </c>
      <c r="C55" s="52"/>
      <c r="D55" s="52"/>
      <c r="E55" s="52"/>
      <c r="F55" s="52"/>
      <c r="G55" s="52"/>
      <c r="H55" s="50"/>
      <c r="I55" s="182">
        <v>156692</v>
      </c>
      <c r="J55" s="53"/>
      <c r="K55" s="53"/>
      <c r="L55" s="53"/>
      <c r="M55" s="53"/>
      <c r="N55" s="53"/>
      <c r="O55" s="47"/>
      <c r="P55" s="115">
        <v>0</v>
      </c>
      <c r="Q55" s="47"/>
      <c r="R55" s="115">
        <v>0</v>
      </c>
      <c r="S55" s="115">
        <v>0</v>
      </c>
      <c r="T55" s="115">
        <v>0</v>
      </c>
      <c r="U55" s="115">
        <v>0</v>
      </c>
      <c r="V55" s="115">
        <v>0</v>
      </c>
      <c r="W55" s="115">
        <v>0</v>
      </c>
      <c r="X55" s="115">
        <v>156692</v>
      </c>
      <c r="Y55" s="53"/>
      <c r="Z55" s="53"/>
      <c r="AA55" s="53"/>
      <c r="AB55" s="53"/>
      <c r="AC55" s="53"/>
      <c r="AD55" s="47"/>
      <c r="AE55" s="53"/>
      <c r="AF55" s="53"/>
      <c r="AG55" s="47"/>
      <c r="AH55" s="53">
        <f t="shared" si="15"/>
        <v>156692</v>
      </c>
      <c r="AI55" s="51"/>
      <c r="AJ55" s="218">
        <f t="shared" si="16"/>
        <v>0</v>
      </c>
    </row>
    <row r="56" spans="1:36" s="36" customFormat="1" ht="15.75" x14ac:dyDescent="0.25">
      <c r="A56" s="34" t="s">
        <v>201</v>
      </c>
      <c r="B56" s="34" t="s">
        <v>493</v>
      </c>
      <c r="C56" s="52"/>
      <c r="D56" s="52"/>
      <c r="E56" s="52"/>
      <c r="F56" s="52"/>
      <c r="G56" s="52"/>
      <c r="H56" s="50"/>
      <c r="I56" s="182">
        <v>94557</v>
      </c>
      <c r="J56" s="53"/>
      <c r="K56" s="53"/>
      <c r="L56" s="53"/>
      <c r="M56" s="53"/>
      <c r="N56" s="53"/>
      <c r="O56" s="47"/>
      <c r="P56" s="115">
        <v>0</v>
      </c>
      <c r="Q56" s="47"/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115">
        <v>94557</v>
      </c>
      <c r="Y56" s="53"/>
      <c r="Z56" s="53"/>
      <c r="AA56" s="53"/>
      <c r="AB56" s="53"/>
      <c r="AC56" s="53"/>
      <c r="AD56" s="47"/>
      <c r="AE56" s="53"/>
      <c r="AF56" s="53"/>
      <c r="AG56" s="47"/>
      <c r="AH56" s="53">
        <f t="shared" si="15"/>
        <v>94557</v>
      </c>
      <c r="AI56" s="51"/>
      <c r="AJ56" s="218">
        <f t="shared" si="16"/>
        <v>0</v>
      </c>
    </row>
    <row r="57" spans="1:36" s="36" customFormat="1" ht="15.75" x14ac:dyDescent="0.25">
      <c r="A57" s="34" t="s">
        <v>544</v>
      </c>
      <c r="B57" s="34" t="s">
        <v>545</v>
      </c>
      <c r="C57" s="52"/>
      <c r="D57" s="52"/>
      <c r="E57" s="52"/>
      <c r="F57" s="52"/>
      <c r="G57" s="52"/>
      <c r="H57" s="50"/>
      <c r="I57" s="182"/>
      <c r="J57" s="53"/>
      <c r="K57" s="53"/>
      <c r="L57" s="53"/>
      <c r="M57" s="53"/>
      <c r="N57" s="53"/>
      <c r="O57" s="47"/>
      <c r="P57" s="115">
        <v>0</v>
      </c>
      <c r="Q57" s="47"/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53"/>
      <c r="Z57" s="53"/>
      <c r="AA57" s="53"/>
      <c r="AB57" s="53"/>
      <c r="AC57" s="53"/>
      <c r="AD57" s="47"/>
      <c r="AE57" s="53"/>
      <c r="AF57" s="53"/>
      <c r="AG57" s="47"/>
      <c r="AH57" s="53">
        <f t="shared" si="15"/>
        <v>0</v>
      </c>
      <c r="AI57" s="51"/>
      <c r="AJ57" s="218">
        <f t="shared" si="16"/>
        <v>0</v>
      </c>
    </row>
    <row r="58" spans="1:36" s="36" customFormat="1" ht="15.75" x14ac:dyDescent="0.25">
      <c r="A58" s="34" t="s">
        <v>529</v>
      </c>
      <c r="B58" s="34" t="s">
        <v>530</v>
      </c>
      <c r="C58" s="52"/>
      <c r="D58" s="52"/>
      <c r="E58" s="52"/>
      <c r="F58" s="52"/>
      <c r="G58" s="52"/>
      <c r="H58" s="50"/>
      <c r="I58" s="182">
        <v>101240</v>
      </c>
      <c r="J58" s="53"/>
      <c r="K58" s="53"/>
      <c r="L58" s="53"/>
      <c r="M58" s="53"/>
      <c r="N58" s="53"/>
      <c r="O58" s="47"/>
      <c r="P58" s="115">
        <v>0</v>
      </c>
      <c r="Q58" s="47"/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36103</v>
      </c>
      <c r="Y58" s="275">
        <v>65137</v>
      </c>
      <c r="Z58" s="53"/>
      <c r="AA58" s="53"/>
      <c r="AB58" s="53"/>
      <c r="AC58" s="53"/>
      <c r="AD58" s="47"/>
      <c r="AE58" s="53"/>
      <c r="AF58" s="53"/>
      <c r="AG58" s="47"/>
      <c r="AH58" s="53">
        <f t="shared" si="15"/>
        <v>101240</v>
      </c>
      <c r="AI58" s="51"/>
      <c r="AJ58" s="218">
        <f t="shared" si="16"/>
        <v>0</v>
      </c>
    </row>
    <row r="59" spans="1:36" s="36" customFormat="1" ht="15.75" x14ac:dyDescent="0.25">
      <c r="A59" s="34" t="s">
        <v>527</v>
      </c>
      <c r="B59" s="35" t="s">
        <v>528</v>
      </c>
      <c r="C59" s="52"/>
      <c r="D59" s="52"/>
      <c r="E59" s="52"/>
      <c r="F59" s="52"/>
      <c r="G59" s="52"/>
      <c r="H59" s="50"/>
      <c r="I59" s="182">
        <v>36900</v>
      </c>
      <c r="J59" s="53"/>
      <c r="K59" s="53"/>
      <c r="L59" s="53"/>
      <c r="M59" s="53"/>
      <c r="N59" s="53"/>
      <c r="O59" s="47"/>
      <c r="P59" s="115">
        <v>0</v>
      </c>
      <c r="Q59" s="47"/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36900</v>
      </c>
      <c r="Y59" s="58"/>
      <c r="Z59" s="58"/>
      <c r="AA59" s="53"/>
      <c r="AB59" s="53"/>
      <c r="AC59" s="53"/>
      <c r="AD59" s="47"/>
      <c r="AE59" s="58"/>
      <c r="AF59" s="58"/>
      <c r="AG59" s="47"/>
      <c r="AH59" s="53">
        <f t="shared" si="15"/>
        <v>36900</v>
      </c>
      <c r="AI59" s="51"/>
      <c r="AJ59" s="218">
        <f t="shared" si="16"/>
        <v>0</v>
      </c>
    </row>
    <row r="60" spans="1:36" s="36" customFormat="1" ht="15.75" x14ac:dyDescent="0.25">
      <c r="A60" s="93"/>
      <c r="B60" s="94"/>
      <c r="C60" s="91"/>
      <c r="D60" s="91"/>
      <c r="E60" s="91"/>
      <c r="F60" s="91"/>
      <c r="G60" s="91"/>
      <c r="H60" s="92"/>
      <c r="I60" s="59">
        <f t="shared" ref="I60:N60" si="17">SUM(I52:N59)</f>
        <v>555317</v>
      </c>
      <c r="J60" s="59">
        <f t="shared" si="17"/>
        <v>0</v>
      </c>
      <c r="K60" s="59">
        <f t="shared" si="17"/>
        <v>0</v>
      </c>
      <c r="L60" s="59">
        <f t="shared" si="17"/>
        <v>0</v>
      </c>
      <c r="M60" s="59">
        <f t="shared" si="17"/>
        <v>0</v>
      </c>
      <c r="N60" s="59">
        <f t="shared" si="17"/>
        <v>0</v>
      </c>
      <c r="O60" s="47"/>
      <c r="P60" s="59">
        <f>SUM(P52:P59)</f>
        <v>0</v>
      </c>
      <c r="Q60" s="47"/>
      <c r="R60" s="59">
        <f>SUM(R52:R59)</f>
        <v>0</v>
      </c>
      <c r="S60" s="59">
        <f t="shared" ref="S60:AC60" si="18">SUM(S52:S59)</f>
        <v>0</v>
      </c>
      <c r="T60" s="59">
        <f t="shared" si="18"/>
        <v>0</v>
      </c>
      <c r="U60" s="59">
        <f t="shared" si="18"/>
        <v>0</v>
      </c>
      <c r="V60" s="59">
        <f t="shared" si="18"/>
        <v>0</v>
      </c>
      <c r="W60" s="59">
        <f t="shared" si="18"/>
        <v>119122</v>
      </c>
      <c r="X60" s="59">
        <f t="shared" si="18"/>
        <v>324252</v>
      </c>
      <c r="Y60" s="59">
        <f t="shared" si="18"/>
        <v>111943</v>
      </c>
      <c r="Z60" s="59">
        <f t="shared" si="18"/>
        <v>0</v>
      </c>
      <c r="AA60" s="59">
        <f t="shared" si="18"/>
        <v>0</v>
      </c>
      <c r="AB60" s="59">
        <f t="shared" si="18"/>
        <v>0</v>
      </c>
      <c r="AC60" s="59">
        <f t="shared" si="18"/>
        <v>0</v>
      </c>
      <c r="AD60" s="47"/>
      <c r="AE60" s="59">
        <f>SUM(AE52:AE59)</f>
        <v>0</v>
      </c>
      <c r="AF60" s="59">
        <f>SUM(AF52:AF59)</f>
        <v>0</v>
      </c>
      <c r="AG60" s="47"/>
      <c r="AH60" s="53">
        <f t="shared" si="15"/>
        <v>555317</v>
      </c>
      <c r="AI60" s="51"/>
      <c r="AJ60" s="218">
        <f>I60-AH60</f>
        <v>0</v>
      </c>
    </row>
    <row r="61" spans="1:36" s="36" customFormat="1" ht="15.75" x14ac:dyDescent="0.25">
      <c r="A61" s="106" t="s">
        <v>536</v>
      </c>
      <c r="B61" s="107"/>
      <c r="C61" s="101" t="s">
        <v>373</v>
      </c>
      <c r="D61" s="102"/>
      <c r="E61" s="102"/>
      <c r="F61" s="102"/>
      <c r="G61" s="102"/>
      <c r="H61" s="84"/>
      <c r="I61" s="193"/>
      <c r="J61" s="103"/>
      <c r="K61" s="103"/>
      <c r="L61" s="103"/>
      <c r="M61" s="103"/>
      <c r="N61" s="103"/>
      <c r="O61" s="47"/>
      <c r="P61" s="85"/>
      <c r="Q61" s="47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47"/>
      <c r="AE61" s="103"/>
      <c r="AF61" s="103"/>
      <c r="AG61" s="47"/>
      <c r="AH61" s="85"/>
      <c r="AI61" s="51"/>
      <c r="AJ61" s="218">
        <f>I61-AH61</f>
        <v>0</v>
      </c>
    </row>
    <row r="62" spans="1:36" s="36" customFormat="1" ht="15.75" x14ac:dyDescent="0.25">
      <c r="A62" s="179" t="s">
        <v>434</v>
      </c>
      <c r="B62" s="180" t="s">
        <v>537</v>
      </c>
      <c r="C62" s="52"/>
      <c r="D62" s="52"/>
      <c r="E62" s="52"/>
      <c r="F62" s="52"/>
      <c r="G62" s="52"/>
      <c r="H62" s="50"/>
      <c r="I62" s="247">
        <f>353138+108818</f>
        <v>461956</v>
      </c>
      <c r="J62" s="53"/>
      <c r="K62" s="53"/>
      <c r="L62" s="53"/>
      <c r="M62" s="53"/>
      <c r="N62" s="53"/>
      <c r="O62" s="47"/>
      <c r="P62" s="115">
        <v>0</v>
      </c>
      <c r="Q62" s="47"/>
      <c r="R62" s="115">
        <v>353138</v>
      </c>
      <c r="S62" s="115">
        <v>108818</v>
      </c>
      <c r="T62" s="115">
        <v>0</v>
      </c>
      <c r="U62" s="115">
        <v>0</v>
      </c>
      <c r="V62" s="115">
        <v>0</v>
      </c>
      <c r="W62" s="115">
        <v>0</v>
      </c>
      <c r="X62" s="115">
        <v>0</v>
      </c>
      <c r="Y62" s="58"/>
      <c r="Z62" s="58"/>
      <c r="AA62" s="58"/>
      <c r="AB62" s="58"/>
      <c r="AC62" s="58"/>
      <c r="AD62" s="47"/>
      <c r="AE62" s="58"/>
      <c r="AF62" s="53"/>
      <c r="AG62" s="47"/>
      <c r="AH62" s="53">
        <f>SUM(P62:AG62)</f>
        <v>461956</v>
      </c>
      <c r="AI62" s="51"/>
      <c r="AJ62" s="218">
        <f>I62-AH62</f>
        <v>0</v>
      </c>
    </row>
    <row r="63" spans="1:36" s="36" customFormat="1" ht="15.75" x14ac:dyDescent="0.25">
      <c r="A63" s="179" t="s">
        <v>197</v>
      </c>
      <c r="B63" s="180" t="s">
        <v>198</v>
      </c>
      <c r="C63" s="52"/>
      <c r="D63" s="52"/>
      <c r="E63" s="52"/>
      <c r="F63" s="52"/>
      <c r="G63" s="52"/>
      <c r="H63" s="50"/>
      <c r="I63" s="247">
        <v>500577</v>
      </c>
      <c r="J63" s="53"/>
      <c r="K63" s="53"/>
      <c r="L63" s="53"/>
      <c r="M63" s="53"/>
      <c r="N63" s="53"/>
      <c r="O63" s="47"/>
      <c r="P63" s="115">
        <v>0</v>
      </c>
      <c r="Q63" s="47"/>
      <c r="R63" s="115">
        <v>0</v>
      </c>
      <c r="S63" s="115">
        <v>17615</v>
      </c>
      <c r="T63" s="115">
        <v>71648</v>
      </c>
      <c r="U63" s="115">
        <v>0</v>
      </c>
      <c r="V63" s="115">
        <v>97695</v>
      </c>
      <c r="W63" s="115">
        <v>103125</v>
      </c>
      <c r="X63" s="115">
        <v>92500</v>
      </c>
      <c r="Y63" s="275">
        <v>100000</v>
      </c>
      <c r="Z63" s="275">
        <v>17994</v>
      </c>
      <c r="AA63" s="58"/>
      <c r="AB63" s="58"/>
      <c r="AC63" s="58"/>
      <c r="AD63" s="47"/>
      <c r="AE63" s="58"/>
      <c r="AF63" s="53"/>
      <c r="AG63" s="47"/>
      <c r="AH63" s="53">
        <f>SUM(P63:AG63)</f>
        <v>500577</v>
      </c>
      <c r="AI63" s="51"/>
      <c r="AJ63" s="218">
        <f>I63-AH63</f>
        <v>0</v>
      </c>
    </row>
    <row r="64" spans="1:36" s="36" customFormat="1" ht="15.75" x14ac:dyDescent="0.25">
      <c r="A64" s="93"/>
      <c r="B64" s="94"/>
      <c r="C64" s="91"/>
      <c r="D64" s="91"/>
      <c r="E64" s="91"/>
      <c r="F64" s="91"/>
      <c r="G64" s="91"/>
      <c r="H64" s="92"/>
      <c r="I64" s="243">
        <f>SUM(I62:I63)</f>
        <v>962533</v>
      </c>
      <c r="J64" s="59"/>
      <c r="K64" s="59"/>
      <c r="L64" s="59"/>
      <c r="M64" s="59"/>
      <c r="N64" s="59"/>
      <c r="O64" s="47"/>
      <c r="P64" s="59">
        <f>SUM(P62:P63)</f>
        <v>0</v>
      </c>
      <c r="Q64" s="47"/>
      <c r="R64" s="59">
        <f>SUM(R62:R63)</f>
        <v>353138</v>
      </c>
      <c r="S64" s="59">
        <f t="shared" ref="S64:AC64" si="19">SUM(S62:S63)</f>
        <v>126433</v>
      </c>
      <c r="T64" s="59">
        <f t="shared" si="19"/>
        <v>71648</v>
      </c>
      <c r="U64" s="59">
        <f t="shared" si="19"/>
        <v>0</v>
      </c>
      <c r="V64" s="59">
        <f t="shared" si="19"/>
        <v>97695</v>
      </c>
      <c r="W64" s="59">
        <f t="shared" si="19"/>
        <v>103125</v>
      </c>
      <c r="X64" s="59">
        <f t="shared" si="19"/>
        <v>92500</v>
      </c>
      <c r="Y64" s="59">
        <f t="shared" si="19"/>
        <v>100000</v>
      </c>
      <c r="Z64" s="59">
        <f t="shared" si="19"/>
        <v>17994</v>
      </c>
      <c r="AA64" s="59">
        <f t="shared" si="19"/>
        <v>0</v>
      </c>
      <c r="AB64" s="59">
        <f t="shared" si="19"/>
        <v>0</v>
      </c>
      <c r="AC64" s="59">
        <f t="shared" si="19"/>
        <v>0</v>
      </c>
      <c r="AD64" s="47"/>
      <c r="AE64" s="59">
        <f>SUM(AE62:AE63)</f>
        <v>0</v>
      </c>
      <c r="AF64" s="59">
        <f>SUM(AF62:AF63)</f>
        <v>0</v>
      </c>
      <c r="AG64" s="47"/>
      <c r="AH64" s="53">
        <f>SUM(P64:AG64)</f>
        <v>962533</v>
      </c>
      <c r="AI64" s="51"/>
      <c r="AJ64" s="218">
        <f>I64-AH64</f>
        <v>0</v>
      </c>
    </row>
    <row r="65" spans="1:36" s="36" customFormat="1" ht="15.75" x14ac:dyDescent="0.25">
      <c r="A65" s="106" t="s">
        <v>73</v>
      </c>
      <c r="B65" s="107"/>
      <c r="C65" s="101" t="s">
        <v>45</v>
      </c>
      <c r="D65" s="102"/>
      <c r="E65" s="102"/>
      <c r="F65" s="102"/>
      <c r="G65" s="102"/>
      <c r="H65" s="84"/>
      <c r="I65" s="193"/>
      <c r="J65" s="103"/>
      <c r="K65" s="103"/>
      <c r="L65" s="103"/>
      <c r="M65" s="103"/>
      <c r="N65" s="103"/>
      <c r="O65" s="47"/>
      <c r="P65" s="85"/>
      <c r="Q65" s="47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47"/>
      <c r="AE65" s="103"/>
      <c r="AF65" s="103"/>
      <c r="AG65" s="47"/>
      <c r="AH65" s="85"/>
      <c r="AI65" s="51"/>
      <c r="AJ65" s="218"/>
    </row>
    <row r="66" spans="1:36" s="36" customFormat="1" ht="15.75" x14ac:dyDescent="0.25">
      <c r="A66" s="60" t="s">
        <v>430</v>
      </c>
      <c r="B66" s="61" t="s">
        <v>431</v>
      </c>
      <c r="C66" s="52" t="s">
        <v>45</v>
      </c>
      <c r="D66" s="52" t="s">
        <v>45</v>
      </c>
      <c r="E66" s="52" t="s">
        <v>320</v>
      </c>
      <c r="F66" s="52"/>
      <c r="G66" s="52"/>
      <c r="H66" s="50"/>
      <c r="I66" s="182">
        <v>3111793</v>
      </c>
      <c r="J66" s="53"/>
      <c r="K66" s="53"/>
      <c r="L66" s="53"/>
      <c r="M66" s="53"/>
      <c r="N66" s="53"/>
      <c r="O66" s="47"/>
      <c r="P66" s="115">
        <v>61092</v>
      </c>
      <c r="Q66" s="47"/>
      <c r="R66" s="115">
        <v>0</v>
      </c>
      <c r="S66" s="115">
        <v>0</v>
      </c>
      <c r="T66" s="115">
        <v>0</v>
      </c>
      <c r="U66" s="115">
        <v>73311</v>
      </c>
      <c r="V66" s="115">
        <v>0</v>
      </c>
      <c r="W66" s="115">
        <v>0</v>
      </c>
      <c r="X66" s="115">
        <v>3503</v>
      </c>
      <c r="Y66" s="58"/>
      <c r="Z66" s="58"/>
      <c r="AA66" s="58"/>
      <c r="AB66" s="58"/>
      <c r="AC66" s="58"/>
      <c r="AD66" s="47"/>
      <c r="AE66" s="275">
        <v>2973887</v>
      </c>
      <c r="AF66" s="53"/>
      <c r="AG66" s="47"/>
      <c r="AH66" s="53">
        <f t="shared" ref="AH66:AH114" si="20">SUM(P66:AG66)</f>
        <v>3111793</v>
      </c>
      <c r="AI66" s="51"/>
      <c r="AJ66" s="218">
        <f>I66-AH66</f>
        <v>0</v>
      </c>
    </row>
    <row r="67" spans="1:36" s="36" customFormat="1" ht="15.75" x14ac:dyDescent="0.25">
      <c r="A67" s="60" t="s">
        <v>432</v>
      </c>
      <c r="B67" s="61" t="s">
        <v>433</v>
      </c>
      <c r="C67" s="52" t="s">
        <v>45</v>
      </c>
      <c r="D67" s="52" t="s">
        <v>45</v>
      </c>
      <c r="E67" s="52" t="s">
        <v>320</v>
      </c>
      <c r="F67" s="52"/>
      <c r="G67" s="52"/>
      <c r="H67" s="50"/>
      <c r="I67" s="182">
        <v>3111793</v>
      </c>
      <c r="J67" s="53"/>
      <c r="K67" s="53"/>
      <c r="L67" s="53"/>
      <c r="M67" s="53"/>
      <c r="N67" s="53"/>
      <c r="O67" s="47"/>
      <c r="P67" s="115">
        <v>61092</v>
      </c>
      <c r="Q67" s="47"/>
      <c r="R67" s="115">
        <v>0</v>
      </c>
      <c r="S67" s="115">
        <v>0</v>
      </c>
      <c r="T67" s="115">
        <v>0</v>
      </c>
      <c r="U67" s="115">
        <v>73311</v>
      </c>
      <c r="V67" s="115">
        <v>0</v>
      </c>
      <c r="W67" s="115">
        <v>0</v>
      </c>
      <c r="X67" s="115">
        <v>2134</v>
      </c>
      <c r="Y67" s="58"/>
      <c r="Z67" s="58"/>
      <c r="AA67" s="58"/>
      <c r="AB67" s="58"/>
      <c r="AC67" s="58"/>
      <c r="AD67" s="47"/>
      <c r="AE67" s="275">
        <v>2975256</v>
      </c>
      <c r="AF67" s="53"/>
      <c r="AG67" s="47"/>
      <c r="AH67" s="53">
        <f t="shared" si="20"/>
        <v>3111793</v>
      </c>
      <c r="AI67" s="51"/>
      <c r="AJ67" s="218">
        <f>I67-AH67</f>
        <v>0</v>
      </c>
    </row>
    <row r="68" spans="1:36" s="36" customFormat="1" ht="15.75" x14ac:dyDescent="0.25">
      <c r="A68" s="60" t="s">
        <v>560</v>
      </c>
      <c r="B68" s="61" t="s">
        <v>561</v>
      </c>
      <c r="C68" s="52"/>
      <c r="D68" s="52"/>
      <c r="E68" s="52"/>
      <c r="F68" s="52"/>
      <c r="G68" s="52"/>
      <c r="H68" s="50"/>
      <c r="I68" s="182">
        <v>38040</v>
      </c>
      <c r="J68" s="53"/>
      <c r="K68" s="53"/>
      <c r="L68" s="53"/>
      <c r="M68" s="53"/>
      <c r="N68" s="53"/>
      <c r="O68" s="47"/>
      <c r="P68" s="115">
        <v>0</v>
      </c>
      <c r="Q68" s="47"/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58"/>
      <c r="Z68" s="58"/>
      <c r="AA68" s="58"/>
      <c r="AB68" s="58"/>
      <c r="AC68" s="58"/>
      <c r="AD68" s="47"/>
      <c r="AE68" s="275"/>
      <c r="AF68" s="53"/>
      <c r="AG68" s="47"/>
      <c r="AH68" s="53"/>
      <c r="AI68" s="51"/>
      <c r="AJ68" s="218"/>
    </row>
    <row r="69" spans="1:36" s="36" customFormat="1" ht="15.75" x14ac:dyDescent="0.25">
      <c r="A69" s="60" t="s">
        <v>558</v>
      </c>
      <c r="B69" s="61" t="s">
        <v>559</v>
      </c>
      <c r="C69" s="52"/>
      <c r="D69" s="52"/>
      <c r="E69" s="52"/>
      <c r="F69" s="52"/>
      <c r="G69" s="52"/>
      <c r="H69" s="50"/>
      <c r="I69" s="182"/>
      <c r="J69" s="53"/>
      <c r="K69" s="53"/>
      <c r="L69" s="53"/>
      <c r="M69" s="53"/>
      <c r="N69" s="53"/>
      <c r="O69" s="47"/>
      <c r="P69" s="115">
        <v>0</v>
      </c>
      <c r="Q69" s="47"/>
      <c r="R69" s="115">
        <v>0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58"/>
      <c r="Z69" s="58"/>
      <c r="AA69" s="58"/>
      <c r="AB69" s="58"/>
      <c r="AC69" s="58"/>
      <c r="AD69" s="47"/>
      <c r="AE69" s="275"/>
      <c r="AF69" s="53"/>
      <c r="AG69" s="47"/>
      <c r="AH69" s="53"/>
      <c r="AI69" s="51"/>
      <c r="AJ69" s="218"/>
    </row>
    <row r="70" spans="1:36" s="36" customFormat="1" ht="15.75" x14ac:dyDescent="0.25">
      <c r="A70" s="60" t="s">
        <v>556</v>
      </c>
      <c r="B70" s="61" t="s">
        <v>557</v>
      </c>
      <c r="C70" s="52"/>
      <c r="D70" s="52"/>
      <c r="E70" s="52"/>
      <c r="F70" s="52"/>
      <c r="G70" s="52"/>
      <c r="H70" s="50"/>
      <c r="I70" s="182">
        <v>74344</v>
      </c>
      <c r="J70" s="53"/>
      <c r="K70" s="53"/>
      <c r="L70" s="53"/>
      <c r="M70" s="53"/>
      <c r="N70" s="53"/>
      <c r="O70" s="47"/>
      <c r="P70" s="115">
        <v>0</v>
      </c>
      <c r="Q70" s="47"/>
      <c r="R70" s="115">
        <v>0</v>
      </c>
      <c r="S70" s="115">
        <v>0</v>
      </c>
      <c r="T70" s="115">
        <v>0</v>
      </c>
      <c r="U70" s="115">
        <v>0</v>
      </c>
      <c r="V70" s="115">
        <v>0</v>
      </c>
      <c r="W70" s="115">
        <v>0</v>
      </c>
      <c r="X70" s="115">
        <v>0</v>
      </c>
      <c r="Y70" s="58"/>
      <c r="Z70" s="58"/>
      <c r="AA70" s="58"/>
      <c r="AB70" s="58"/>
      <c r="AC70" s="58"/>
      <c r="AD70" s="47"/>
      <c r="AE70" s="275"/>
      <c r="AF70" s="53"/>
      <c r="AG70" s="47"/>
      <c r="AH70" s="53"/>
      <c r="AI70" s="51"/>
      <c r="AJ70" s="218"/>
    </row>
    <row r="71" spans="1:36" s="36" customFormat="1" ht="15.75" x14ac:dyDescent="0.25">
      <c r="A71" s="60" t="s">
        <v>554</v>
      </c>
      <c r="B71" s="61" t="s">
        <v>555</v>
      </c>
      <c r="C71" s="52"/>
      <c r="D71" s="52"/>
      <c r="E71" s="52"/>
      <c r="F71" s="52"/>
      <c r="G71" s="52"/>
      <c r="H71" s="50"/>
      <c r="I71" s="182">
        <v>6336</v>
      </c>
      <c r="J71" s="53"/>
      <c r="K71" s="53"/>
      <c r="L71" s="53"/>
      <c r="M71" s="53"/>
      <c r="N71" s="53"/>
      <c r="O71" s="47"/>
      <c r="P71" s="115">
        <v>0</v>
      </c>
      <c r="Q71" s="47"/>
      <c r="R71" s="115">
        <v>0</v>
      </c>
      <c r="S71" s="115"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58"/>
      <c r="Z71" s="58"/>
      <c r="AA71" s="58"/>
      <c r="AB71" s="58"/>
      <c r="AC71" s="58"/>
      <c r="AD71" s="47"/>
      <c r="AE71" s="275"/>
      <c r="AF71" s="53"/>
      <c r="AG71" s="47"/>
      <c r="AH71" s="53"/>
      <c r="AI71" s="51"/>
      <c r="AJ71" s="218"/>
    </row>
    <row r="72" spans="1:36" s="36" customFormat="1" ht="15.75" x14ac:dyDescent="0.25">
      <c r="A72" s="60" t="s">
        <v>495</v>
      </c>
      <c r="B72" s="61" t="s">
        <v>552</v>
      </c>
      <c r="C72" s="52"/>
      <c r="D72" s="52"/>
      <c r="E72" s="52"/>
      <c r="F72" s="52"/>
      <c r="G72" s="52"/>
      <c r="H72" s="50"/>
      <c r="I72" s="182">
        <v>89125</v>
      </c>
      <c r="J72" s="53"/>
      <c r="K72" s="53"/>
      <c r="L72" s="53"/>
      <c r="M72" s="53"/>
      <c r="N72" s="53"/>
      <c r="O72" s="47"/>
      <c r="P72" s="115">
        <v>0</v>
      </c>
      <c r="Q72" s="47"/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58"/>
      <c r="Z72" s="58"/>
      <c r="AA72" s="58"/>
      <c r="AB72" s="58"/>
      <c r="AC72" s="58"/>
      <c r="AD72" s="47"/>
      <c r="AE72" s="275"/>
      <c r="AF72" s="53"/>
      <c r="AG72" s="47"/>
      <c r="AH72" s="53"/>
      <c r="AI72" s="51"/>
      <c r="AJ72" s="218"/>
    </row>
    <row r="73" spans="1:36" s="36" customFormat="1" ht="15.75" x14ac:dyDescent="0.25">
      <c r="A73" s="60" t="s">
        <v>551</v>
      </c>
      <c r="B73" s="61" t="s">
        <v>553</v>
      </c>
      <c r="C73" s="52"/>
      <c r="D73" s="52"/>
      <c r="E73" s="52"/>
      <c r="F73" s="52"/>
      <c r="G73" s="52"/>
      <c r="H73" s="50"/>
      <c r="I73" s="182">
        <v>75650</v>
      </c>
      <c r="J73" s="53"/>
      <c r="K73" s="53"/>
      <c r="L73" s="53"/>
      <c r="M73" s="53"/>
      <c r="N73" s="53"/>
      <c r="O73" s="47"/>
      <c r="P73" s="115">
        <v>0</v>
      </c>
      <c r="Q73" s="47"/>
      <c r="R73" s="115">
        <v>0</v>
      </c>
      <c r="S73" s="115">
        <v>0</v>
      </c>
      <c r="T73" s="115">
        <v>0</v>
      </c>
      <c r="U73" s="115">
        <v>0</v>
      </c>
      <c r="V73" s="115">
        <v>0</v>
      </c>
      <c r="W73" s="115">
        <v>0</v>
      </c>
      <c r="X73" s="115">
        <v>0</v>
      </c>
      <c r="Y73" s="58"/>
      <c r="Z73" s="58"/>
      <c r="AA73" s="58"/>
      <c r="AB73" s="58"/>
      <c r="AC73" s="58"/>
      <c r="AD73" s="47"/>
      <c r="AE73" s="275"/>
      <c r="AF73" s="53"/>
      <c r="AG73" s="47"/>
      <c r="AH73" s="53"/>
      <c r="AI73" s="51"/>
      <c r="AJ73" s="218"/>
    </row>
    <row r="74" spans="1:36" s="36" customFormat="1" ht="15.75" x14ac:dyDescent="0.25">
      <c r="A74" s="60" t="s">
        <v>161</v>
      </c>
      <c r="B74" s="61" t="s">
        <v>163</v>
      </c>
      <c r="C74" s="52" t="s">
        <v>45</v>
      </c>
      <c r="D74" s="52" t="s">
        <v>45</v>
      </c>
      <c r="E74" s="52" t="s">
        <v>320</v>
      </c>
      <c r="F74" s="52" t="s">
        <v>165</v>
      </c>
      <c r="G74" s="52" t="s">
        <v>165</v>
      </c>
      <c r="H74" s="50" t="s">
        <v>165</v>
      </c>
      <c r="I74" s="86" t="s">
        <v>165</v>
      </c>
      <c r="J74" s="53"/>
      <c r="K74" s="53"/>
      <c r="L74" s="53"/>
      <c r="M74" s="53"/>
      <c r="N74" s="53"/>
      <c r="O74" s="47"/>
      <c r="P74" s="115">
        <v>0</v>
      </c>
      <c r="Q74" s="47"/>
      <c r="R74" s="115">
        <v>0</v>
      </c>
      <c r="S74" s="115">
        <v>0</v>
      </c>
      <c r="T74" s="115">
        <v>0</v>
      </c>
      <c r="U74" s="115">
        <v>0</v>
      </c>
      <c r="V74" s="115">
        <v>0</v>
      </c>
      <c r="W74" s="115">
        <v>0</v>
      </c>
      <c r="X74" s="115">
        <v>0</v>
      </c>
      <c r="Y74" s="58"/>
      <c r="Z74" s="58"/>
      <c r="AA74" s="58"/>
      <c r="AB74" s="58"/>
      <c r="AC74" s="58"/>
      <c r="AD74" s="47"/>
      <c r="AE74" s="58"/>
      <c r="AF74" s="53"/>
      <c r="AG74" s="47"/>
      <c r="AH74" s="53">
        <f t="shared" si="20"/>
        <v>0</v>
      </c>
      <c r="AI74" s="51"/>
      <c r="AJ74" s="246" t="s">
        <v>165</v>
      </c>
    </row>
    <row r="75" spans="1:36" s="36" customFormat="1" ht="15.75" x14ac:dyDescent="0.25">
      <c r="A75" s="244" t="s">
        <v>298</v>
      </c>
      <c r="B75" s="272" t="s">
        <v>299</v>
      </c>
      <c r="C75" s="52"/>
      <c r="D75" s="52"/>
      <c r="E75" s="52"/>
      <c r="F75" s="87"/>
      <c r="G75" s="87"/>
      <c r="H75" s="88"/>
      <c r="I75" s="181"/>
      <c r="J75" s="53"/>
      <c r="K75" s="53"/>
      <c r="L75" s="53"/>
      <c r="M75" s="53"/>
      <c r="N75" s="53"/>
      <c r="O75" s="47"/>
      <c r="P75" s="115">
        <v>0</v>
      </c>
      <c r="Q75" s="47"/>
      <c r="R75" s="115">
        <v>0</v>
      </c>
      <c r="S75" s="115">
        <v>0</v>
      </c>
      <c r="T75" s="115">
        <v>0</v>
      </c>
      <c r="U75" s="242">
        <v>0</v>
      </c>
      <c r="V75" s="115">
        <v>0</v>
      </c>
      <c r="W75" s="115">
        <v>0</v>
      </c>
      <c r="X75" s="115">
        <v>0</v>
      </c>
      <c r="Y75" s="53"/>
      <c r="Z75" s="53"/>
      <c r="AA75" s="53"/>
      <c r="AB75" s="53"/>
      <c r="AC75" s="53"/>
      <c r="AD75" s="47"/>
      <c r="AE75" s="53"/>
      <c r="AF75" s="53"/>
      <c r="AG75" s="47"/>
      <c r="AH75" s="53">
        <f>SUM(P75:AG75)</f>
        <v>0</v>
      </c>
      <c r="AI75" s="51"/>
      <c r="AJ75" s="218">
        <f t="shared" ref="AJ75:AJ80" si="21">I75-AH75</f>
        <v>0</v>
      </c>
    </row>
    <row r="76" spans="1:36" s="36" customFormat="1" ht="15.75" x14ac:dyDescent="0.25">
      <c r="A76" s="113" t="s">
        <v>180</v>
      </c>
      <c r="B76" s="113" t="s">
        <v>182</v>
      </c>
      <c r="C76" s="52" t="s">
        <v>45</v>
      </c>
      <c r="D76" s="52" t="s">
        <v>45</v>
      </c>
      <c r="E76" s="52" t="s">
        <v>320</v>
      </c>
      <c r="F76" s="52">
        <v>44371</v>
      </c>
      <c r="G76" s="52">
        <v>44431</v>
      </c>
      <c r="H76" s="50">
        <f>((G76-F76)/7)/4.3</f>
        <v>1.9933554817275747</v>
      </c>
      <c r="I76" s="53">
        <v>0</v>
      </c>
      <c r="J76" s="53"/>
      <c r="K76" s="53"/>
      <c r="L76" s="53"/>
      <c r="M76" s="53"/>
      <c r="N76" s="53"/>
      <c r="O76" s="47"/>
      <c r="P76" s="115">
        <v>0</v>
      </c>
      <c r="Q76" s="47"/>
      <c r="R76" s="115">
        <v>0</v>
      </c>
      <c r="S76" s="115">
        <v>0</v>
      </c>
      <c r="T76" s="115">
        <v>0</v>
      </c>
      <c r="U76" s="115">
        <v>0</v>
      </c>
      <c r="V76" s="115">
        <v>0</v>
      </c>
      <c r="W76" s="115">
        <v>0</v>
      </c>
      <c r="X76" s="115">
        <v>0</v>
      </c>
      <c r="Y76" s="58"/>
      <c r="Z76" s="53"/>
      <c r="AA76" s="53"/>
      <c r="AB76" s="53"/>
      <c r="AC76" s="53"/>
      <c r="AD76" s="47"/>
      <c r="AE76" s="53"/>
      <c r="AF76" s="53"/>
      <c r="AG76" s="47"/>
      <c r="AH76" s="53">
        <f t="shared" si="20"/>
        <v>0</v>
      </c>
      <c r="AI76" s="51"/>
      <c r="AJ76" s="218">
        <f t="shared" si="21"/>
        <v>0</v>
      </c>
    </row>
    <row r="77" spans="1:36" s="36" customFormat="1" ht="15.75" x14ac:dyDescent="0.25">
      <c r="A77" s="244" t="s">
        <v>434</v>
      </c>
      <c r="B77" s="244" t="s">
        <v>435</v>
      </c>
      <c r="C77" s="52" t="s">
        <v>45</v>
      </c>
      <c r="D77" s="52" t="s">
        <v>45</v>
      </c>
      <c r="E77" s="52" t="s">
        <v>320</v>
      </c>
      <c r="F77" s="52" t="s">
        <v>319</v>
      </c>
      <c r="G77" s="52" t="s">
        <v>319</v>
      </c>
      <c r="H77" s="50"/>
      <c r="I77" s="189">
        <v>461956</v>
      </c>
      <c r="J77" s="53"/>
      <c r="K77" s="53"/>
      <c r="L77" s="53"/>
      <c r="M77" s="53"/>
      <c r="N77" s="53"/>
      <c r="O77" s="47"/>
      <c r="P77" s="115">
        <v>0</v>
      </c>
      <c r="Q77" s="47"/>
      <c r="R77" s="115">
        <v>353138</v>
      </c>
      <c r="S77" s="115">
        <v>108818</v>
      </c>
      <c r="T77" s="115">
        <v>0</v>
      </c>
      <c r="U77" s="115">
        <v>0</v>
      </c>
      <c r="V77" s="115">
        <v>0</v>
      </c>
      <c r="W77" s="115">
        <v>0</v>
      </c>
      <c r="X77" s="115">
        <v>0</v>
      </c>
      <c r="Y77" s="53"/>
      <c r="Z77" s="53"/>
      <c r="AA77" s="53"/>
      <c r="AB77" s="53"/>
      <c r="AC77" s="53"/>
      <c r="AD77" s="47"/>
      <c r="AE77" s="53"/>
      <c r="AF77" s="53"/>
      <c r="AG77" s="47"/>
      <c r="AH77" s="53">
        <f t="shared" ref="AH77:AH84" si="22">SUM(P77:AG77)</f>
        <v>461956</v>
      </c>
      <c r="AI77" s="51"/>
      <c r="AJ77" s="218">
        <f t="shared" si="21"/>
        <v>0</v>
      </c>
    </row>
    <row r="78" spans="1:36" s="36" customFormat="1" ht="15.75" x14ac:dyDescent="0.25">
      <c r="A78" s="113" t="s">
        <v>102</v>
      </c>
      <c r="B78" s="114" t="s">
        <v>385</v>
      </c>
      <c r="C78" s="52" t="s">
        <v>380</v>
      </c>
      <c r="D78" s="52" t="s">
        <v>381</v>
      </c>
      <c r="E78" s="52" t="s">
        <v>320</v>
      </c>
      <c r="F78" s="52" t="s">
        <v>24</v>
      </c>
      <c r="G78" s="52" t="s">
        <v>24</v>
      </c>
      <c r="H78" s="52" t="s">
        <v>24</v>
      </c>
      <c r="I78" s="86">
        <v>0</v>
      </c>
      <c r="J78" s="53"/>
      <c r="K78" s="53"/>
      <c r="L78" s="53"/>
      <c r="M78" s="53"/>
      <c r="N78" s="53"/>
      <c r="O78" s="47"/>
      <c r="P78" s="115">
        <v>0</v>
      </c>
      <c r="Q78" s="47"/>
      <c r="R78" s="115">
        <v>0</v>
      </c>
      <c r="S78" s="115">
        <v>0</v>
      </c>
      <c r="T78" s="115">
        <v>0</v>
      </c>
      <c r="U78" s="115">
        <v>0</v>
      </c>
      <c r="V78" s="115">
        <v>0</v>
      </c>
      <c r="W78" s="115">
        <v>0</v>
      </c>
      <c r="X78" s="115">
        <v>0</v>
      </c>
      <c r="Y78" s="53"/>
      <c r="Z78" s="53"/>
      <c r="AA78" s="53"/>
      <c r="AB78" s="53"/>
      <c r="AC78" s="53"/>
      <c r="AD78" s="47"/>
      <c r="AE78" s="53"/>
      <c r="AF78" s="53"/>
      <c r="AG78" s="47"/>
      <c r="AH78" s="53">
        <f t="shared" si="22"/>
        <v>0</v>
      </c>
      <c r="AI78" s="51"/>
      <c r="AJ78" s="218">
        <f t="shared" si="21"/>
        <v>0</v>
      </c>
    </row>
    <row r="79" spans="1:36" s="36" customFormat="1" ht="15.75" x14ac:dyDescent="0.25">
      <c r="A79" s="113" t="s">
        <v>325</v>
      </c>
      <c r="B79" s="114" t="s">
        <v>418</v>
      </c>
      <c r="C79" s="52" t="s">
        <v>380</v>
      </c>
      <c r="D79" s="52" t="s">
        <v>381</v>
      </c>
      <c r="E79" s="52" t="s">
        <v>320</v>
      </c>
      <c r="F79" s="52" t="s">
        <v>319</v>
      </c>
      <c r="G79" s="52" t="s">
        <v>319</v>
      </c>
      <c r="H79" s="52" t="s">
        <v>319</v>
      </c>
      <c r="I79" s="247">
        <v>253822</v>
      </c>
      <c r="J79" s="53"/>
      <c r="K79" s="53"/>
      <c r="L79" s="53"/>
      <c r="M79" s="53"/>
      <c r="N79" s="53"/>
      <c r="O79" s="47"/>
      <c r="P79" s="115">
        <v>0</v>
      </c>
      <c r="Q79" s="47"/>
      <c r="R79" s="115">
        <v>0</v>
      </c>
      <c r="S79" s="115">
        <v>15630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53"/>
      <c r="Z79" s="53"/>
      <c r="AA79" s="53"/>
      <c r="AB79" s="53"/>
      <c r="AC79" s="53"/>
      <c r="AD79" s="47"/>
      <c r="AE79" s="275">
        <v>238192</v>
      </c>
      <c r="AF79" s="53"/>
      <c r="AG79" s="47"/>
      <c r="AH79" s="53">
        <f t="shared" si="22"/>
        <v>253822</v>
      </c>
      <c r="AI79" s="51"/>
      <c r="AJ79" s="55">
        <f t="shared" si="21"/>
        <v>0</v>
      </c>
    </row>
    <row r="80" spans="1:36" s="36" customFormat="1" ht="15.75" x14ac:dyDescent="0.25">
      <c r="A80" s="113" t="s">
        <v>328</v>
      </c>
      <c r="B80" s="114" t="s">
        <v>419</v>
      </c>
      <c r="C80" s="52" t="s">
        <v>380</v>
      </c>
      <c r="D80" s="52" t="s">
        <v>381</v>
      </c>
      <c r="E80" s="52" t="s">
        <v>320</v>
      </c>
      <c r="F80" s="52" t="s">
        <v>319</v>
      </c>
      <c r="G80" s="52" t="s">
        <v>319</v>
      </c>
      <c r="H80" s="52" t="s">
        <v>319</v>
      </c>
      <c r="I80" s="247">
        <v>129826</v>
      </c>
      <c r="J80" s="53"/>
      <c r="K80" s="53"/>
      <c r="L80" s="53"/>
      <c r="M80" s="53"/>
      <c r="N80" s="53"/>
      <c r="O80" s="47"/>
      <c r="P80" s="115">
        <v>0</v>
      </c>
      <c r="Q80" s="47"/>
      <c r="R80" s="115">
        <v>0</v>
      </c>
      <c r="S80" s="115">
        <v>5720</v>
      </c>
      <c r="T80" s="115">
        <v>0</v>
      </c>
      <c r="U80" s="115">
        <v>9280</v>
      </c>
      <c r="V80" s="115">
        <v>0</v>
      </c>
      <c r="W80" s="115">
        <v>0</v>
      </c>
      <c r="X80" s="115">
        <v>0</v>
      </c>
      <c r="Y80" s="53"/>
      <c r="Z80" s="53"/>
      <c r="AA80" s="53"/>
      <c r="AB80" s="53"/>
      <c r="AC80" s="53"/>
      <c r="AD80" s="47"/>
      <c r="AE80" s="275">
        <v>114826</v>
      </c>
      <c r="AF80" s="53"/>
      <c r="AG80" s="47"/>
      <c r="AH80" s="53">
        <f t="shared" si="22"/>
        <v>129826</v>
      </c>
      <c r="AI80" s="51"/>
      <c r="AJ80" s="55">
        <f t="shared" si="21"/>
        <v>0</v>
      </c>
    </row>
    <row r="81" spans="1:36" s="36" customFormat="1" ht="15.75" x14ac:dyDescent="0.25">
      <c r="A81" s="113" t="s">
        <v>107</v>
      </c>
      <c r="B81" s="114" t="s">
        <v>108</v>
      </c>
      <c r="C81" s="52" t="s">
        <v>380</v>
      </c>
      <c r="D81" s="52" t="s">
        <v>381</v>
      </c>
      <c r="E81" s="52" t="s">
        <v>320</v>
      </c>
      <c r="F81" s="52">
        <v>44336</v>
      </c>
      <c r="G81" s="52">
        <v>44456</v>
      </c>
      <c r="H81" s="50">
        <f>((G81-F81)/7)/4.3</f>
        <v>3.9867109634551494</v>
      </c>
      <c r="I81" s="86" t="s">
        <v>165</v>
      </c>
      <c r="J81" s="53"/>
      <c r="K81" s="53"/>
      <c r="L81" s="53"/>
      <c r="M81" s="53"/>
      <c r="N81" s="53"/>
      <c r="O81" s="47"/>
      <c r="P81" s="115">
        <v>0</v>
      </c>
      <c r="Q81" s="47"/>
      <c r="R81" s="115">
        <v>0</v>
      </c>
      <c r="S81" s="115">
        <v>0</v>
      </c>
      <c r="T81" s="115">
        <v>0</v>
      </c>
      <c r="U81" s="115">
        <v>0</v>
      </c>
      <c r="V81" s="115">
        <v>0</v>
      </c>
      <c r="W81" s="115">
        <v>0</v>
      </c>
      <c r="X81" s="115">
        <v>0</v>
      </c>
      <c r="Y81" s="58"/>
      <c r="Z81" s="53"/>
      <c r="AA81" s="53"/>
      <c r="AB81" s="53"/>
      <c r="AC81" s="53"/>
      <c r="AD81" s="47"/>
      <c r="AE81" s="53"/>
      <c r="AF81" s="53"/>
      <c r="AG81" s="47"/>
      <c r="AH81" s="53">
        <f t="shared" si="22"/>
        <v>0</v>
      </c>
      <c r="AI81" s="51"/>
      <c r="AJ81" s="246" t="s">
        <v>165</v>
      </c>
    </row>
    <row r="82" spans="1:36" s="36" customFormat="1" ht="15.75" x14ac:dyDescent="0.25">
      <c r="A82" s="113" t="s">
        <v>110</v>
      </c>
      <c r="B82" s="114" t="s">
        <v>111</v>
      </c>
      <c r="C82" s="52" t="s">
        <v>380</v>
      </c>
      <c r="D82" s="52" t="s">
        <v>381</v>
      </c>
      <c r="E82" s="52" t="s">
        <v>320</v>
      </c>
      <c r="F82" s="52"/>
      <c r="G82" s="52"/>
      <c r="H82" s="50"/>
      <c r="I82" s="86" t="s">
        <v>165</v>
      </c>
      <c r="J82" s="53"/>
      <c r="K82" s="53"/>
      <c r="L82" s="53"/>
      <c r="M82" s="53"/>
      <c r="N82" s="53"/>
      <c r="O82" s="47"/>
      <c r="P82" s="115">
        <v>0</v>
      </c>
      <c r="Q82" s="47"/>
      <c r="R82" s="115">
        <v>0</v>
      </c>
      <c r="S82" s="115">
        <v>0</v>
      </c>
      <c r="T82" s="115">
        <v>0</v>
      </c>
      <c r="U82" s="115">
        <v>0</v>
      </c>
      <c r="V82" s="115">
        <v>0</v>
      </c>
      <c r="W82" s="115">
        <v>0</v>
      </c>
      <c r="X82" s="115">
        <v>0</v>
      </c>
      <c r="Y82" s="58"/>
      <c r="Z82" s="53"/>
      <c r="AA82" s="53"/>
      <c r="AB82" s="53"/>
      <c r="AC82" s="53"/>
      <c r="AD82" s="47"/>
      <c r="AE82" s="53"/>
      <c r="AF82" s="53"/>
      <c r="AG82" s="47"/>
      <c r="AH82" s="53">
        <f t="shared" si="22"/>
        <v>0</v>
      </c>
      <c r="AI82" s="51"/>
      <c r="AJ82" s="246" t="s">
        <v>165</v>
      </c>
    </row>
    <row r="83" spans="1:36" s="36" customFormat="1" ht="15.75" x14ac:dyDescent="0.25">
      <c r="A83" s="113" t="s">
        <v>176</v>
      </c>
      <c r="B83" s="114" t="s">
        <v>177</v>
      </c>
      <c r="C83" s="52" t="s">
        <v>45</v>
      </c>
      <c r="D83" s="52" t="s">
        <v>371</v>
      </c>
      <c r="E83" s="52" t="s">
        <v>320</v>
      </c>
      <c r="F83" s="52">
        <v>44331</v>
      </c>
      <c r="G83" s="52">
        <v>44511</v>
      </c>
      <c r="H83" s="50">
        <f>((G83-F83)/7)/4.3</f>
        <v>5.9800664451827243</v>
      </c>
      <c r="I83" s="53"/>
      <c r="J83" s="53"/>
      <c r="K83" s="53"/>
      <c r="L83" s="53"/>
      <c r="M83" s="53"/>
      <c r="N83" s="53"/>
      <c r="O83" s="47"/>
      <c r="P83" s="115">
        <v>0</v>
      </c>
      <c r="Q83" s="47"/>
      <c r="R83" s="115">
        <v>0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115">
        <v>0</v>
      </c>
      <c r="Y83" s="58"/>
      <c r="Z83" s="58"/>
      <c r="AA83" s="58"/>
      <c r="AB83" s="58"/>
      <c r="AC83" s="58"/>
      <c r="AD83" s="47"/>
      <c r="AE83" s="58"/>
      <c r="AF83" s="53"/>
      <c r="AG83" s="47"/>
      <c r="AH83" s="53">
        <f t="shared" si="22"/>
        <v>0</v>
      </c>
      <c r="AI83" s="51"/>
      <c r="AJ83" s="218">
        <f>I83-AH83</f>
        <v>0</v>
      </c>
    </row>
    <row r="84" spans="1:36" s="36" customFormat="1" ht="15.75" x14ac:dyDescent="0.25">
      <c r="A84" s="113" t="s">
        <v>541</v>
      </c>
      <c r="B84" s="114" t="s">
        <v>542</v>
      </c>
      <c r="C84" s="52"/>
      <c r="D84" s="52"/>
      <c r="E84" s="52"/>
      <c r="F84" s="52"/>
      <c r="G84" s="52"/>
      <c r="H84" s="50"/>
      <c r="I84" s="53"/>
      <c r="J84" s="53"/>
      <c r="K84" s="53"/>
      <c r="L84" s="53"/>
      <c r="M84" s="53"/>
      <c r="N84" s="53"/>
      <c r="O84" s="47"/>
      <c r="P84" s="115">
        <v>0</v>
      </c>
      <c r="Q84" s="47"/>
      <c r="R84" s="115">
        <v>0</v>
      </c>
      <c r="S84" s="115">
        <v>0</v>
      </c>
      <c r="T84" s="115">
        <v>0</v>
      </c>
      <c r="U84" s="115">
        <v>0</v>
      </c>
      <c r="V84" s="115">
        <v>0</v>
      </c>
      <c r="W84" s="115">
        <v>0</v>
      </c>
      <c r="X84" s="115">
        <v>0</v>
      </c>
      <c r="Y84" s="58"/>
      <c r="Z84" s="58"/>
      <c r="AA84" s="58"/>
      <c r="AB84" s="58"/>
      <c r="AC84" s="58"/>
      <c r="AD84" s="47"/>
      <c r="AE84" s="58"/>
      <c r="AF84" s="53"/>
      <c r="AG84" s="47"/>
      <c r="AH84" s="53">
        <f t="shared" si="22"/>
        <v>0</v>
      </c>
      <c r="AI84" s="51"/>
      <c r="AJ84" s="218">
        <f>I84-AH84</f>
        <v>0</v>
      </c>
    </row>
    <row r="85" spans="1:36" s="36" customFormat="1" ht="15.75" x14ac:dyDescent="0.25">
      <c r="A85" s="113" t="s">
        <v>187</v>
      </c>
      <c r="B85" s="114" t="s">
        <v>188</v>
      </c>
      <c r="C85" s="52" t="s">
        <v>45</v>
      </c>
      <c r="D85" s="52" t="s">
        <v>45</v>
      </c>
      <c r="E85" s="52" t="s">
        <v>320</v>
      </c>
      <c r="F85" s="52">
        <v>44409</v>
      </c>
      <c r="G85" s="52">
        <v>44649</v>
      </c>
      <c r="H85" s="50">
        <f>((G85-F85)/7)/4.3</f>
        <v>7.9734219269102988</v>
      </c>
      <c r="I85" s="53">
        <v>1500000</v>
      </c>
      <c r="J85" s="53"/>
      <c r="K85" s="53"/>
      <c r="L85" s="53"/>
      <c r="M85" s="53"/>
      <c r="N85" s="53"/>
      <c r="O85" s="47"/>
      <c r="P85" s="115">
        <v>0</v>
      </c>
      <c r="Q85" s="47"/>
      <c r="R85" s="115">
        <v>0</v>
      </c>
      <c r="S85" s="115">
        <v>0</v>
      </c>
      <c r="T85" s="115">
        <v>0</v>
      </c>
      <c r="U85" s="115">
        <v>0</v>
      </c>
      <c r="V85" s="115">
        <v>41062</v>
      </c>
      <c r="W85" s="115">
        <v>0</v>
      </c>
      <c r="X85" s="115">
        <v>0</v>
      </c>
      <c r="Y85" s="275">
        <v>125000</v>
      </c>
      <c r="Z85" s="275">
        <v>175000</v>
      </c>
      <c r="AA85" s="275">
        <v>200000</v>
      </c>
      <c r="AB85" s="275">
        <v>200000</v>
      </c>
      <c r="AC85" s="275">
        <v>200000</v>
      </c>
      <c r="AD85" s="47"/>
      <c r="AE85" s="275">
        <v>558938</v>
      </c>
      <c r="AF85" s="53"/>
      <c r="AG85" s="47"/>
      <c r="AH85" s="53">
        <f t="shared" si="20"/>
        <v>1500000</v>
      </c>
      <c r="AI85" s="51"/>
      <c r="AJ85" s="218">
        <f>I85-AH85</f>
        <v>0</v>
      </c>
    </row>
    <row r="86" spans="1:36" s="36" customFormat="1" ht="15.75" x14ac:dyDescent="0.25">
      <c r="A86" s="113" t="s">
        <v>191</v>
      </c>
      <c r="B86" s="114" t="s">
        <v>192</v>
      </c>
      <c r="C86" s="52" t="s">
        <v>45</v>
      </c>
      <c r="D86" s="52" t="s">
        <v>45</v>
      </c>
      <c r="E86" s="52" t="s">
        <v>320</v>
      </c>
      <c r="F86" s="52">
        <v>44470</v>
      </c>
      <c r="G86" s="52">
        <v>44831</v>
      </c>
      <c r="H86" s="50">
        <f>((G86-F86)/7)/4.3</f>
        <v>11.993355481727574</v>
      </c>
      <c r="I86" s="53">
        <v>4000000</v>
      </c>
      <c r="J86" s="53"/>
      <c r="K86" s="53"/>
      <c r="L86" s="53"/>
      <c r="M86" s="53"/>
      <c r="N86" s="53"/>
      <c r="O86" s="47"/>
      <c r="P86" s="115">
        <v>0</v>
      </c>
      <c r="Q86" s="47"/>
      <c r="R86" s="115">
        <v>0</v>
      </c>
      <c r="S86" s="115">
        <v>0</v>
      </c>
      <c r="T86" s="115">
        <v>0</v>
      </c>
      <c r="U86" s="115">
        <v>0</v>
      </c>
      <c r="V86" s="115">
        <v>0</v>
      </c>
      <c r="W86" s="115">
        <v>0</v>
      </c>
      <c r="X86" s="115">
        <v>0</v>
      </c>
      <c r="Y86" s="58"/>
      <c r="Z86" s="58"/>
      <c r="AA86" s="275">
        <v>800000</v>
      </c>
      <c r="AB86" s="275">
        <v>800000</v>
      </c>
      <c r="AC86" s="275">
        <v>800000</v>
      </c>
      <c r="AD86" s="47"/>
      <c r="AE86" s="275">
        <v>1600000</v>
      </c>
      <c r="AF86" s="53"/>
      <c r="AG86" s="47"/>
      <c r="AH86" s="53">
        <f t="shared" si="20"/>
        <v>4000000</v>
      </c>
      <c r="AI86" s="51"/>
      <c r="AJ86" s="218">
        <f>I86-AH86</f>
        <v>0</v>
      </c>
    </row>
    <row r="87" spans="1:36" s="36" customFormat="1" ht="15.75" x14ac:dyDescent="0.25">
      <c r="A87" s="34" t="s">
        <v>194</v>
      </c>
      <c r="B87" s="35" t="s">
        <v>397</v>
      </c>
      <c r="C87" s="52" t="s">
        <v>45</v>
      </c>
      <c r="D87" s="52" t="s">
        <v>45</v>
      </c>
      <c r="E87" s="52" t="s">
        <v>320</v>
      </c>
      <c r="F87" s="52">
        <v>44403</v>
      </c>
      <c r="G87" s="52">
        <v>44704</v>
      </c>
      <c r="H87" s="50">
        <f>((G87-F87)/7)/4.3</f>
        <v>10</v>
      </c>
      <c r="I87" s="53">
        <v>3000000</v>
      </c>
      <c r="J87" s="53"/>
      <c r="K87" s="53"/>
      <c r="L87" s="53"/>
      <c r="M87" s="53"/>
      <c r="N87" s="53"/>
      <c r="O87" s="47"/>
      <c r="P87" s="115">
        <v>0</v>
      </c>
      <c r="Q87" s="47"/>
      <c r="R87" s="115">
        <v>0</v>
      </c>
      <c r="S87" s="115">
        <v>0</v>
      </c>
      <c r="T87" s="115">
        <v>0</v>
      </c>
      <c r="U87" s="115">
        <v>0</v>
      </c>
      <c r="V87" s="115">
        <v>0</v>
      </c>
      <c r="W87" s="115">
        <v>0</v>
      </c>
      <c r="X87" s="115">
        <v>0</v>
      </c>
      <c r="Y87" s="53"/>
      <c r="Z87" s="53"/>
      <c r="AA87" s="53"/>
      <c r="AB87" s="53"/>
      <c r="AC87" s="53"/>
      <c r="AD87" s="47"/>
      <c r="AE87" s="275">
        <v>3000000</v>
      </c>
      <c r="AF87" s="53"/>
      <c r="AG87" s="47"/>
      <c r="AH87" s="53">
        <f t="shared" si="20"/>
        <v>3000000</v>
      </c>
      <c r="AI87" s="51"/>
      <c r="AJ87" s="218">
        <f>I87-AH87</f>
        <v>0</v>
      </c>
    </row>
    <row r="88" spans="1:36" s="36" customFormat="1" ht="15.75" x14ac:dyDescent="0.25">
      <c r="A88" s="113" t="s">
        <v>178</v>
      </c>
      <c r="B88" s="113" t="s">
        <v>179</v>
      </c>
      <c r="C88" s="52" t="s">
        <v>45</v>
      </c>
      <c r="D88" s="52" t="s">
        <v>371</v>
      </c>
      <c r="E88" s="52" t="s">
        <v>320</v>
      </c>
      <c r="F88" s="52">
        <v>44331</v>
      </c>
      <c r="G88" s="52">
        <v>44511</v>
      </c>
      <c r="H88" s="50">
        <f>((G88-F88)/7)/4.3</f>
        <v>5.9800664451827243</v>
      </c>
      <c r="I88" s="86" t="s">
        <v>165</v>
      </c>
      <c r="J88" s="53"/>
      <c r="K88" s="53"/>
      <c r="L88" s="53"/>
      <c r="M88" s="53"/>
      <c r="N88" s="53"/>
      <c r="O88" s="47"/>
      <c r="P88" s="115">
        <v>0</v>
      </c>
      <c r="Q88" s="47"/>
      <c r="R88" s="115">
        <v>0</v>
      </c>
      <c r="S88" s="115">
        <v>0</v>
      </c>
      <c r="T88" s="115">
        <v>0</v>
      </c>
      <c r="U88" s="115">
        <v>0</v>
      </c>
      <c r="V88" s="115">
        <v>0</v>
      </c>
      <c r="W88" s="115">
        <v>0</v>
      </c>
      <c r="X88" s="115">
        <v>0</v>
      </c>
      <c r="Y88" s="58"/>
      <c r="Z88" s="58"/>
      <c r="AA88" s="58"/>
      <c r="AB88" s="58"/>
      <c r="AC88" s="58"/>
      <c r="AD88" s="47"/>
      <c r="AE88" s="58"/>
      <c r="AF88" s="53"/>
      <c r="AG88" s="47"/>
      <c r="AH88" s="53">
        <f>SUM(P88:AG88)</f>
        <v>0</v>
      </c>
      <c r="AI88" s="51"/>
      <c r="AJ88" s="246" t="s">
        <v>165</v>
      </c>
    </row>
    <row r="89" spans="1:36" s="36" customFormat="1" ht="15.75" x14ac:dyDescent="0.25">
      <c r="A89" s="113" t="s">
        <v>197</v>
      </c>
      <c r="B89" s="114" t="s">
        <v>198</v>
      </c>
      <c r="C89" s="52" t="s">
        <v>45</v>
      </c>
      <c r="D89" s="52" t="s">
        <v>45</v>
      </c>
      <c r="E89" s="52" t="s">
        <v>320</v>
      </c>
      <c r="F89" s="52"/>
      <c r="G89" s="52"/>
      <c r="H89" s="50"/>
      <c r="I89" s="182">
        <v>500577</v>
      </c>
      <c r="J89" s="53"/>
      <c r="K89" s="53"/>
      <c r="L89" s="53"/>
      <c r="M89" s="53"/>
      <c r="N89" s="53"/>
      <c r="O89" s="47"/>
      <c r="P89" s="115">
        <v>0</v>
      </c>
      <c r="Q89" s="47"/>
      <c r="R89" s="115">
        <v>0</v>
      </c>
      <c r="S89" s="115">
        <v>17615</v>
      </c>
      <c r="T89" s="115">
        <v>71648</v>
      </c>
      <c r="U89" s="115">
        <v>0</v>
      </c>
      <c r="V89" s="115">
        <v>97695</v>
      </c>
      <c r="W89" s="115">
        <v>103125</v>
      </c>
      <c r="X89" s="115">
        <v>0</v>
      </c>
      <c r="Y89" s="53"/>
      <c r="Z89" s="53"/>
      <c r="AA89" s="53"/>
      <c r="AB89" s="53"/>
      <c r="AC89" s="53"/>
      <c r="AD89" s="47"/>
      <c r="AE89" s="275">
        <v>210494</v>
      </c>
      <c r="AF89" s="53"/>
      <c r="AG89" s="47"/>
      <c r="AH89" s="53">
        <f t="shared" si="20"/>
        <v>500577</v>
      </c>
      <c r="AI89" s="51"/>
      <c r="AJ89" s="218">
        <f>I89-AH89</f>
        <v>0</v>
      </c>
    </row>
    <row r="90" spans="1:36" s="36" customFormat="1" ht="15.75" x14ac:dyDescent="0.25">
      <c r="A90" s="34" t="s">
        <v>203</v>
      </c>
      <c r="B90" s="35" t="s">
        <v>204</v>
      </c>
      <c r="C90" s="52" t="s">
        <v>45</v>
      </c>
      <c r="D90" s="52" t="s">
        <v>45</v>
      </c>
      <c r="E90" s="52" t="s">
        <v>320</v>
      </c>
      <c r="F90" s="52"/>
      <c r="G90" s="52"/>
      <c r="H90" s="50"/>
      <c r="I90" s="53">
        <v>10000000</v>
      </c>
      <c r="J90" s="53"/>
      <c r="K90" s="53"/>
      <c r="L90" s="53"/>
      <c r="M90" s="53"/>
      <c r="N90" s="53"/>
      <c r="O90" s="47"/>
      <c r="P90" s="115">
        <v>0</v>
      </c>
      <c r="Q90" s="47"/>
      <c r="R90" s="115">
        <v>0</v>
      </c>
      <c r="S90" s="115">
        <v>0</v>
      </c>
      <c r="T90" s="115">
        <v>0</v>
      </c>
      <c r="U90" s="115">
        <v>0</v>
      </c>
      <c r="V90" s="115">
        <v>0</v>
      </c>
      <c r="W90" s="115">
        <v>0</v>
      </c>
      <c r="X90" s="115">
        <v>0</v>
      </c>
      <c r="Y90" s="275">
        <v>780000</v>
      </c>
      <c r="Z90" s="275">
        <v>1100000</v>
      </c>
      <c r="AA90" s="275">
        <v>1300000</v>
      </c>
      <c r="AB90" s="275">
        <v>1400000</v>
      </c>
      <c r="AC90" s="275">
        <v>1400000</v>
      </c>
      <c r="AD90" s="47"/>
      <c r="AE90" s="275">
        <v>4020000</v>
      </c>
      <c r="AF90" s="53"/>
      <c r="AG90" s="47"/>
      <c r="AH90" s="53">
        <f t="shared" si="20"/>
        <v>10000000</v>
      </c>
      <c r="AI90" s="51"/>
      <c r="AJ90" s="218">
        <f>I90-AH90</f>
        <v>0</v>
      </c>
    </row>
    <row r="91" spans="1:36" s="36" customFormat="1" ht="15.75" x14ac:dyDescent="0.25">
      <c r="A91" s="34" t="s">
        <v>206</v>
      </c>
      <c r="B91" s="35" t="s">
        <v>207</v>
      </c>
      <c r="C91" s="52" t="s">
        <v>45</v>
      </c>
      <c r="D91" s="52" t="s">
        <v>45</v>
      </c>
      <c r="E91" s="52" t="s">
        <v>320</v>
      </c>
      <c r="F91" s="52"/>
      <c r="G91" s="52"/>
      <c r="H91" s="50"/>
      <c r="I91" s="53">
        <v>5000000</v>
      </c>
      <c r="J91" s="53"/>
      <c r="K91" s="53"/>
      <c r="L91" s="53"/>
      <c r="M91" s="53"/>
      <c r="N91" s="53"/>
      <c r="O91" s="47"/>
      <c r="P91" s="115">
        <v>0</v>
      </c>
      <c r="Q91" s="47"/>
      <c r="R91" s="115">
        <v>0</v>
      </c>
      <c r="S91" s="115">
        <v>0</v>
      </c>
      <c r="T91" s="115">
        <v>0</v>
      </c>
      <c r="U91" s="115">
        <v>0</v>
      </c>
      <c r="V91" s="115">
        <v>0</v>
      </c>
      <c r="W91" s="115">
        <v>0</v>
      </c>
      <c r="X91" s="115">
        <v>0</v>
      </c>
      <c r="Y91" s="53"/>
      <c r="Z91" s="53"/>
      <c r="AA91" s="53"/>
      <c r="AB91" s="53"/>
      <c r="AC91" s="53"/>
      <c r="AD91" s="47"/>
      <c r="AE91" s="275">
        <v>5000000</v>
      </c>
      <c r="AF91" s="53"/>
      <c r="AG91" s="47"/>
      <c r="AH91" s="53">
        <f t="shared" si="20"/>
        <v>5000000</v>
      </c>
      <c r="AI91" s="51"/>
      <c r="AJ91" s="218">
        <f>I91-AH91</f>
        <v>0</v>
      </c>
    </row>
    <row r="92" spans="1:36" s="36" customFormat="1" ht="15.75" x14ac:dyDescent="0.25">
      <c r="A92" s="34" t="s">
        <v>208</v>
      </c>
      <c r="B92" s="35" t="s">
        <v>209</v>
      </c>
      <c r="C92" s="52" t="s">
        <v>45</v>
      </c>
      <c r="D92" s="52" t="s">
        <v>45</v>
      </c>
      <c r="E92" s="52" t="s">
        <v>320</v>
      </c>
      <c r="F92" s="52"/>
      <c r="G92" s="52"/>
      <c r="H92" s="50"/>
      <c r="I92" s="53">
        <v>1750000</v>
      </c>
      <c r="J92" s="53"/>
      <c r="K92" s="53"/>
      <c r="L92" s="53"/>
      <c r="M92" s="53"/>
      <c r="N92" s="53"/>
      <c r="O92" s="47"/>
      <c r="P92" s="115">
        <v>0</v>
      </c>
      <c r="Q92" s="47"/>
      <c r="R92" s="115">
        <v>0</v>
      </c>
      <c r="S92" s="115">
        <v>0</v>
      </c>
      <c r="T92" s="115">
        <v>0</v>
      </c>
      <c r="U92" s="115">
        <v>0</v>
      </c>
      <c r="V92" s="115">
        <v>0</v>
      </c>
      <c r="W92" s="115">
        <v>0</v>
      </c>
      <c r="X92" s="115">
        <v>0</v>
      </c>
      <c r="Y92" s="53"/>
      <c r="Z92" s="53"/>
      <c r="AA92" s="53"/>
      <c r="AB92" s="53"/>
      <c r="AC92" s="53"/>
      <c r="AD92" s="47"/>
      <c r="AE92" s="275">
        <v>1750000</v>
      </c>
      <c r="AF92" s="53"/>
      <c r="AG92" s="47"/>
      <c r="AH92" s="53">
        <f t="shared" si="20"/>
        <v>1750000</v>
      </c>
      <c r="AI92" s="51"/>
      <c r="AJ92" s="218">
        <f>I92-AH92</f>
        <v>0</v>
      </c>
    </row>
    <row r="93" spans="1:36" s="36" customFormat="1" ht="15.75" x14ac:dyDescent="0.25">
      <c r="A93" s="34" t="s">
        <v>210</v>
      </c>
      <c r="B93" s="35" t="s">
        <v>211</v>
      </c>
      <c r="C93" s="52" t="s">
        <v>45</v>
      </c>
      <c r="D93" s="52" t="s">
        <v>45</v>
      </c>
      <c r="E93" s="52" t="s">
        <v>320</v>
      </c>
      <c r="F93" s="52" t="s">
        <v>165</v>
      </c>
      <c r="G93" s="52" t="s">
        <v>165</v>
      </c>
      <c r="H93" s="52" t="s">
        <v>165</v>
      </c>
      <c r="I93" s="52" t="s">
        <v>165</v>
      </c>
      <c r="J93" s="53"/>
      <c r="K93" s="53"/>
      <c r="L93" s="53"/>
      <c r="M93" s="53"/>
      <c r="N93" s="53"/>
      <c r="O93" s="47"/>
      <c r="P93" s="115">
        <v>0</v>
      </c>
      <c r="Q93" s="47"/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15">
        <v>0</v>
      </c>
      <c r="Y93" s="53"/>
      <c r="Z93" s="53"/>
      <c r="AA93" s="53"/>
      <c r="AB93" s="53"/>
      <c r="AC93" s="53"/>
      <c r="AD93" s="47"/>
      <c r="AE93" s="53"/>
      <c r="AF93" s="53"/>
      <c r="AG93" s="47"/>
      <c r="AH93" s="53">
        <f t="shared" si="20"/>
        <v>0</v>
      </c>
      <c r="AI93" s="51"/>
      <c r="AJ93" s="246" t="s">
        <v>165</v>
      </c>
    </row>
    <row r="94" spans="1:36" s="36" customFormat="1" ht="15.75" x14ac:dyDescent="0.25">
      <c r="A94" s="34" t="s">
        <v>210</v>
      </c>
      <c r="B94" s="35" t="s">
        <v>438</v>
      </c>
      <c r="C94" s="52" t="s">
        <v>45</v>
      </c>
      <c r="D94" s="52" t="s">
        <v>45</v>
      </c>
      <c r="E94" s="52" t="s">
        <v>320</v>
      </c>
      <c r="F94" s="52" t="s">
        <v>165</v>
      </c>
      <c r="G94" s="52" t="s">
        <v>165</v>
      </c>
      <c r="H94" s="52" t="s">
        <v>165</v>
      </c>
      <c r="I94" s="52" t="s">
        <v>165</v>
      </c>
      <c r="J94" s="53"/>
      <c r="K94" s="53"/>
      <c r="L94" s="53"/>
      <c r="M94" s="53"/>
      <c r="N94" s="53"/>
      <c r="O94" s="47"/>
      <c r="P94" s="115">
        <v>0</v>
      </c>
      <c r="Q94" s="47"/>
      <c r="R94" s="115">
        <v>0</v>
      </c>
      <c r="S94" s="115">
        <v>0</v>
      </c>
      <c r="T94" s="115">
        <v>0</v>
      </c>
      <c r="U94" s="115">
        <v>0</v>
      </c>
      <c r="V94" s="115">
        <v>0</v>
      </c>
      <c r="W94" s="115">
        <v>0</v>
      </c>
      <c r="X94" s="115">
        <v>0</v>
      </c>
      <c r="Y94" s="53"/>
      <c r="Z94" s="53"/>
      <c r="AA94" s="53"/>
      <c r="AB94" s="53"/>
      <c r="AC94" s="53"/>
      <c r="AD94" s="47"/>
      <c r="AE94" s="53"/>
      <c r="AF94" s="53"/>
      <c r="AG94" s="47"/>
      <c r="AH94" s="53">
        <f t="shared" si="20"/>
        <v>0</v>
      </c>
      <c r="AI94" s="51"/>
      <c r="AJ94" s="246" t="s">
        <v>165</v>
      </c>
    </row>
    <row r="95" spans="1:36" s="36" customFormat="1" ht="15.75" x14ac:dyDescent="0.25">
      <c r="A95" s="34" t="s">
        <v>210</v>
      </c>
      <c r="B95" s="35" t="s">
        <v>439</v>
      </c>
      <c r="C95" s="52" t="s">
        <v>45</v>
      </c>
      <c r="D95" s="52" t="s">
        <v>45</v>
      </c>
      <c r="E95" s="52" t="s">
        <v>320</v>
      </c>
      <c r="F95" s="52" t="s">
        <v>319</v>
      </c>
      <c r="G95" s="52" t="s">
        <v>319</v>
      </c>
      <c r="H95" s="52" t="s">
        <v>319</v>
      </c>
      <c r="I95" s="52" t="s">
        <v>319</v>
      </c>
      <c r="J95" s="53"/>
      <c r="K95" s="53"/>
      <c r="L95" s="53"/>
      <c r="M95" s="53"/>
      <c r="N95" s="53"/>
      <c r="O95" s="47"/>
      <c r="P95" s="115">
        <v>0</v>
      </c>
      <c r="Q95" s="47"/>
      <c r="R95" s="115">
        <v>0</v>
      </c>
      <c r="S95" s="115">
        <v>0</v>
      </c>
      <c r="T95" s="115">
        <v>0</v>
      </c>
      <c r="U95" s="115">
        <v>0</v>
      </c>
      <c r="V95" s="115">
        <v>0</v>
      </c>
      <c r="W95" s="115">
        <v>0</v>
      </c>
      <c r="X95" s="115">
        <v>0</v>
      </c>
      <c r="Y95" s="53"/>
      <c r="Z95" s="53"/>
      <c r="AA95" s="53"/>
      <c r="AB95" s="53"/>
      <c r="AC95" s="53"/>
      <c r="AD95" s="47"/>
      <c r="AE95" s="53"/>
      <c r="AF95" s="53"/>
      <c r="AG95" s="47"/>
      <c r="AH95" s="53">
        <f t="shared" si="20"/>
        <v>0</v>
      </c>
      <c r="AI95" s="51"/>
      <c r="AJ95" s="246" t="s">
        <v>319</v>
      </c>
    </row>
    <row r="96" spans="1:36" s="36" customFormat="1" ht="15.75" x14ac:dyDescent="0.25">
      <c r="A96" s="34" t="s">
        <v>210</v>
      </c>
      <c r="B96" s="35" t="s">
        <v>440</v>
      </c>
      <c r="C96" s="52" t="s">
        <v>45</v>
      </c>
      <c r="D96" s="52" t="s">
        <v>45</v>
      </c>
      <c r="E96" s="52" t="s">
        <v>320</v>
      </c>
      <c r="F96" s="52" t="s">
        <v>319</v>
      </c>
      <c r="G96" s="52" t="s">
        <v>319</v>
      </c>
      <c r="H96" s="52" t="s">
        <v>319</v>
      </c>
      <c r="I96" s="52" t="s">
        <v>319</v>
      </c>
      <c r="J96" s="53"/>
      <c r="K96" s="53"/>
      <c r="L96" s="53"/>
      <c r="M96" s="53"/>
      <c r="N96" s="53"/>
      <c r="O96" s="47"/>
      <c r="P96" s="115">
        <v>0</v>
      </c>
      <c r="Q96" s="47"/>
      <c r="R96" s="115">
        <v>0</v>
      </c>
      <c r="S96" s="115">
        <v>0</v>
      </c>
      <c r="T96" s="115">
        <v>0</v>
      </c>
      <c r="U96" s="115">
        <v>0</v>
      </c>
      <c r="V96" s="115">
        <v>0</v>
      </c>
      <c r="W96" s="115">
        <v>0</v>
      </c>
      <c r="X96" s="115">
        <v>0</v>
      </c>
      <c r="Y96" s="53"/>
      <c r="Z96" s="53"/>
      <c r="AA96" s="53"/>
      <c r="AB96" s="53"/>
      <c r="AC96" s="53"/>
      <c r="AD96" s="47"/>
      <c r="AE96" s="53"/>
      <c r="AF96" s="53"/>
      <c r="AG96" s="47"/>
      <c r="AH96" s="53">
        <f t="shared" si="20"/>
        <v>0</v>
      </c>
      <c r="AI96" s="51"/>
      <c r="AJ96" s="246" t="s">
        <v>319</v>
      </c>
    </row>
    <row r="97" spans="1:36" s="36" customFormat="1" ht="15.75" x14ac:dyDescent="0.25">
      <c r="A97" s="34" t="s">
        <v>215</v>
      </c>
      <c r="B97" s="35" t="s">
        <v>216</v>
      </c>
      <c r="C97" s="52" t="s">
        <v>45</v>
      </c>
      <c r="D97" s="52" t="s">
        <v>45</v>
      </c>
      <c r="E97" s="52" t="s">
        <v>320</v>
      </c>
      <c r="F97" s="52"/>
      <c r="G97" s="52"/>
      <c r="H97" s="50"/>
      <c r="I97" s="182">
        <v>67027</v>
      </c>
      <c r="J97" s="53"/>
      <c r="K97" s="53"/>
      <c r="L97" s="53"/>
      <c r="M97" s="53"/>
      <c r="N97" s="53"/>
      <c r="O97" s="47"/>
      <c r="P97" s="115">
        <v>0</v>
      </c>
      <c r="Q97" s="47"/>
      <c r="R97" s="115">
        <v>0</v>
      </c>
      <c r="S97" s="115">
        <v>0</v>
      </c>
      <c r="T97" s="115">
        <v>0</v>
      </c>
      <c r="U97" s="115">
        <v>0</v>
      </c>
      <c r="V97" s="115">
        <v>0</v>
      </c>
      <c r="W97" s="115">
        <f>67027</f>
        <v>67027</v>
      </c>
      <c r="X97" s="115">
        <v>0</v>
      </c>
      <c r="Y97" s="53"/>
      <c r="Z97" s="53"/>
      <c r="AA97" s="53"/>
      <c r="AB97" s="53"/>
      <c r="AC97" s="53"/>
      <c r="AD97" s="47"/>
      <c r="AE97" s="58"/>
      <c r="AF97" s="53"/>
      <c r="AG97" s="47"/>
      <c r="AH97" s="53">
        <f t="shared" si="20"/>
        <v>67027</v>
      </c>
      <c r="AI97" s="51"/>
      <c r="AJ97" s="218">
        <f t="shared" ref="AJ97:AJ105" si="23">I97-AH97</f>
        <v>0</v>
      </c>
    </row>
    <row r="98" spans="1:36" s="36" customFormat="1" ht="15.75" x14ac:dyDescent="0.25">
      <c r="A98" s="34" t="s">
        <v>210</v>
      </c>
      <c r="B98" s="35" t="s">
        <v>217</v>
      </c>
      <c r="C98" s="52" t="s">
        <v>45</v>
      </c>
      <c r="D98" s="52" t="s">
        <v>45</v>
      </c>
      <c r="E98" s="52" t="s">
        <v>320</v>
      </c>
      <c r="F98" s="52"/>
      <c r="G98" s="52"/>
      <c r="H98" s="50"/>
      <c r="I98" s="53"/>
      <c r="J98" s="53"/>
      <c r="K98" s="53"/>
      <c r="L98" s="53"/>
      <c r="M98" s="53"/>
      <c r="N98" s="53"/>
      <c r="O98" s="47"/>
      <c r="P98" s="115">
        <v>0</v>
      </c>
      <c r="Q98" s="47"/>
      <c r="R98" s="115">
        <v>0</v>
      </c>
      <c r="S98" s="115">
        <v>0</v>
      </c>
      <c r="T98" s="115">
        <v>0</v>
      </c>
      <c r="U98" s="115">
        <v>0</v>
      </c>
      <c r="V98" s="115">
        <v>0</v>
      </c>
      <c r="W98" s="115">
        <v>0</v>
      </c>
      <c r="X98" s="115">
        <v>0</v>
      </c>
      <c r="Y98" s="53"/>
      <c r="Z98" s="53"/>
      <c r="AA98" s="53"/>
      <c r="AB98" s="53"/>
      <c r="AC98" s="53"/>
      <c r="AD98" s="47"/>
      <c r="AE98" s="53"/>
      <c r="AF98" s="53"/>
      <c r="AG98" s="47"/>
      <c r="AH98" s="53">
        <f t="shared" si="20"/>
        <v>0</v>
      </c>
      <c r="AI98" s="51"/>
      <c r="AJ98" s="218">
        <f t="shared" si="23"/>
        <v>0</v>
      </c>
    </row>
    <row r="99" spans="1:36" s="36" customFormat="1" ht="15.75" x14ac:dyDescent="0.25">
      <c r="A99" s="34" t="s">
        <v>210</v>
      </c>
      <c r="B99" s="35" t="s">
        <v>211</v>
      </c>
      <c r="C99" s="52" t="s">
        <v>45</v>
      </c>
      <c r="D99" s="52" t="s">
        <v>45</v>
      </c>
      <c r="E99" s="52" t="s">
        <v>320</v>
      </c>
      <c r="F99" s="52"/>
      <c r="G99" s="52"/>
      <c r="H99" s="50"/>
      <c r="I99" s="53"/>
      <c r="J99" s="53"/>
      <c r="K99" s="53"/>
      <c r="L99" s="53"/>
      <c r="M99" s="53"/>
      <c r="N99" s="53"/>
      <c r="O99" s="47"/>
      <c r="P99" s="115">
        <v>0</v>
      </c>
      <c r="Q99" s="47"/>
      <c r="R99" s="115">
        <v>0</v>
      </c>
      <c r="S99" s="115">
        <v>0</v>
      </c>
      <c r="T99" s="115">
        <v>0</v>
      </c>
      <c r="U99" s="115">
        <v>0</v>
      </c>
      <c r="V99" s="115">
        <v>0</v>
      </c>
      <c r="W99" s="115">
        <v>0</v>
      </c>
      <c r="X99" s="115">
        <v>0</v>
      </c>
      <c r="Y99" s="53"/>
      <c r="Z99" s="53"/>
      <c r="AA99" s="53"/>
      <c r="AB99" s="53"/>
      <c r="AC99" s="53"/>
      <c r="AD99" s="47"/>
      <c r="AE99" s="53"/>
      <c r="AF99" s="53"/>
      <c r="AG99" s="47"/>
      <c r="AH99" s="53">
        <f t="shared" si="20"/>
        <v>0</v>
      </c>
      <c r="AI99" s="51"/>
      <c r="AJ99" s="218">
        <f t="shared" si="23"/>
        <v>0</v>
      </c>
    </row>
    <row r="100" spans="1:36" s="36" customFormat="1" ht="15.75" x14ac:dyDescent="0.25">
      <c r="A100" s="34" t="s">
        <v>210</v>
      </c>
      <c r="B100" s="35" t="s">
        <v>218</v>
      </c>
      <c r="C100" s="52" t="s">
        <v>45</v>
      </c>
      <c r="D100" s="52" t="s">
        <v>45</v>
      </c>
      <c r="E100" s="52" t="s">
        <v>320</v>
      </c>
      <c r="F100" s="52"/>
      <c r="G100" s="52"/>
      <c r="H100" s="50"/>
      <c r="I100" s="53"/>
      <c r="J100" s="53"/>
      <c r="K100" s="53"/>
      <c r="L100" s="53"/>
      <c r="M100" s="53"/>
      <c r="N100" s="53"/>
      <c r="O100" s="47"/>
      <c r="P100" s="115">
        <v>0</v>
      </c>
      <c r="Q100" s="47"/>
      <c r="R100" s="115">
        <v>0</v>
      </c>
      <c r="S100" s="115">
        <v>0</v>
      </c>
      <c r="T100" s="115">
        <v>0</v>
      </c>
      <c r="U100" s="115">
        <v>0</v>
      </c>
      <c r="V100" s="115">
        <v>0</v>
      </c>
      <c r="W100" s="115">
        <v>0</v>
      </c>
      <c r="X100" s="115">
        <v>0</v>
      </c>
      <c r="Y100" s="53"/>
      <c r="Z100" s="53"/>
      <c r="AA100" s="53"/>
      <c r="AB100" s="53"/>
      <c r="AC100" s="53"/>
      <c r="AD100" s="47"/>
      <c r="AE100" s="53"/>
      <c r="AF100" s="53"/>
      <c r="AG100" s="47"/>
      <c r="AH100" s="53">
        <f t="shared" si="20"/>
        <v>0</v>
      </c>
      <c r="AI100" s="51"/>
      <c r="AJ100" s="218">
        <f t="shared" si="23"/>
        <v>0</v>
      </c>
    </row>
    <row r="101" spans="1:36" s="36" customFormat="1" ht="15.75" x14ac:dyDescent="0.25">
      <c r="A101" s="34" t="s">
        <v>210</v>
      </c>
      <c r="B101" s="35" t="s">
        <v>219</v>
      </c>
      <c r="C101" s="52" t="s">
        <v>45</v>
      </c>
      <c r="D101" s="52" t="s">
        <v>45</v>
      </c>
      <c r="E101" s="52" t="s">
        <v>320</v>
      </c>
      <c r="F101" s="52"/>
      <c r="G101" s="52"/>
      <c r="H101" s="50"/>
      <c r="I101" s="53"/>
      <c r="J101" s="53"/>
      <c r="K101" s="53"/>
      <c r="L101" s="53"/>
      <c r="M101" s="53"/>
      <c r="N101" s="53"/>
      <c r="O101" s="47"/>
      <c r="P101" s="115">
        <v>0</v>
      </c>
      <c r="Q101" s="47"/>
      <c r="R101" s="115">
        <v>0</v>
      </c>
      <c r="S101" s="115">
        <v>0</v>
      </c>
      <c r="T101" s="115">
        <v>0</v>
      </c>
      <c r="U101" s="115">
        <v>0</v>
      </c>
      <c r="V101" s="115">
        <v>0</v>
      </c>
      <c r="W101" s="115">
        <v>0</v>
      </c>
      <c r="X101" s="115">
        <v>0</v>
      </c>
      <c r="Y101" s="53"/>
      <c r="Z101" s="53"/>
      <c r="AA101" s="53"/>
      <c r="AB101" s="53"/>
      <c r="AC101" s="53"/>
      <c r="AD101" s="47"/>
      <c r="AE101" s="53"/>
      <c r="AF101" s="53"/>
      <c r="AG101" s="47"/>
      <c r="AH101" s="53">
        <f t="shared" si="20"/>
        <v>0</v>
      </c>
      <c r="AI101" s="51"/>
      <c r="AJ101" s="218">
        <f t="shared" si="23"/>
        <v>0</v>
      </c>
    </row>
    <row r="102" spans="1:36" s="36" customFormat="1" ht="15.75" x14ac:dyDescent="0.25">
      <c r="A102" s="34" t="s">
        <v>210</v>
      </c>
      <c r="B102" s="35" t="s">
        <v>441</v>
      </c>
      <c r="C102" s="52" t="s">
        <v>45</v>
      </c>
      <c r="D102" s="52" t="s">
        <v>45</v>
      </c>
      <c r="E102" s="52" t="s">
        <v>320</v>
      </c>
      <c r="F102" s="52"/>
      <c r="G102" s="52"/>
      <c r="H102" s="50"/>
      <c r="I102" s="53"/>
      <c r="J102" s="53"/>
      <c r="K102" s="53"/>
      <c r="L102" s="53"/>
      <c r="M102" s="53"/>
      <c r="N102" s="53"/>
      <c r="O102" s="47"/>
      <c r="P102" s="115">
        <v>0</v>
      </c>
      <c r="Q102" s="47"/>
      <c r="R102" s="115">
        <v>0</v>
      </c>
      <c r="S102" s="115">
        <v>0</v>
      </c>
      <c r="T102" s="115">
        <v>0</v>
      </c>
      <c r="U102" s="115">
        <v>0</v>
      </c>
      <c r="V102" s="115">
        <v>0</v>
      </c>
      <c r="W102" s="115">
        <v>0</v>
      </c>
      <c r="X102" s="115">
        <v>0</v>
      </c>
      <c r="Y102" s="53"/>
      <c r="Z102" s="53"/>
      <c r="AA102" s="53"/>
      <c r="AB102" s="53"/>
      <c r="AC102" s="53"/>
      <c r="AD102" s="47"/>
      <c r="AE102" s="53"/>
      <c r="AF102" s="53"/>
      <c r="AG102" s="47"/>
      <c r="AH102" s="53">
        <f t="shared" si="20"/>
        <v>0</v>
      </c>
      <c r="AI102" s="51"/>
      <c r="AJ102" s="218">
        <f t="shared" si="23"/>
        <v>0</v>
      </c>
    </row>
    <row r="103" spans="1:36" s="36" customFormat="1" ht="15.75" x14ac:dyDescent="0.25">
      <c r="A103" s="34" t="s">
        <v>210</v>
      </c>
      <c r="B103" s="35" t="s">
        <v>221</v>
      </c>
      <c r="C103" s="52" t="s">
        <v>45</v>
      </c>
      <c r="D103" s="52" t="s">
        <v>45</v>
      </c>
      <c r="E103" s="52" t="s">
        <v>320</v>
      </c>
      <c r="F103" s="52"/>
      <c r="G103" s="52"/>
      <c r="H103" s="50"/>
      <c r="I103" s="53"/>
      <c r="J103" s="53"/>
      <c r="K103" s="53"/>
      <c r="L103" s="53"/>
      <c r="M103" s="53"/>
      <c r="N103" s="53"/>
      <c r="O103" s="47"/>
      <c r="P103" s="115">
        <v>0</v>
      </c>
      <c r="Q103" s="47"/>
      <c r="R103" s="115">
        <v>0</v>
      </c>
      <c r="S103" s="115">
        <v>0</v>
      </c>
      <c r="T103" s="115">
        <v>0</v>
      </c>
      <c r="U103" s="115">
        <v>0</v>
      </c>
      <c r="V103" s="115">
        <v>0</v>
      </c>
      <c r="W103" s="115">
        <v>0</v>
      </c>
      <c r="X103" s="115">
        <v>0</v>
      </c>
      <c r="Y103" s="53"/>
      <c r="Z103" s="53"/>
      <c r="AA103" s="53"/>
      <c r="AB103" s="53"/>
      <c r="AC103" s="53"/>
      <c r="AD103" s="47"/>
      <c r="AE103" s="53"/>
      <c r="AF103" s="53"/>
      <c r="AG103" s="47"/>
      <c r="AH103" s="53">
        <f t="shared" si="20"/>
        <v>0</v>
      </c>
      <c r="AI103" s="51"/>
      <c r="AJ103" s="218">
        <f t="shared" si="23"/>
        <v>0</v>
      </c>
    </row>
    <row r="104" spans="1:36" s="36" customFormat="1" ht="15.75" x14ac:dyDescent="0.25">
      <c r="A104" s="34" t="s">
        <v>210</v>
      </c>
      <c r="B104" s="35" t="s">
        <v>223</v>
      </c>
      <c r="C104" s="52" t="s">
        <v>45</v>
      </c>
      <c r="D104" s="52" t="s">
        <v>45</v>
      </c>
      <c r="E104" s="52" t="s">
        <v>320</v>
      </c>
      <c r="F104" s="52"/>
      <c r="G104" s="52"/>
      <c r="H104" s="50"/>
      <c r="I104" s="53">
        <v>90000</v>
      </c>
      <c r="J104" s="53"/>
      <c r="K104" s="53"/>
      <c r="L104" s="53"/>
      <c r="M104" s="53"/>
      <c r="N104" s="53"/>
      <c r="O104" s="47"/>
      <c r="P104" s="115">
        <v>0</v>
      </c>
      <c r="Q104" s="47"/>
      <c r="R104" s="115">
        <v>0</v>
      </c>
      <c r="S104" s="115">
        <v>0</v>
      </c>
      <c r="T104" s="115">
        <v>0</v>
      </c>
      <c r="U104" s="115">
        <v>0</v>
      </c>
      <c r="V104" s="115">
        <v>0</v>
      </c>
      <c r="W104" s="115">
        <v>0</v>
      </c>
      <c r="X104" s="115">
        <v>0</v>
      </c>
      <c r="Y104" s="53"/>
      <c r="Z104" s="53"/>
      <c r="AA104" s="53"/>
      <c r="AB104" s="53"/>
      <c r="AC104" s="53"/>
      <c r="AD104" s="47"/>
      <c r="AE104" s="275">
        <v>90000</v>
      </c>
      <c r="AF104" s="53"/>
      <c r="AG104" s="47"/>
      <c r="AH104" s="53">
        <f t="shared" si="20"/>
        <v>90000</v>
      </c>
      <c r="AI104" s="51"/>
      <c r="AJ104" s="218">
        <f t="shared" si="23"/>
        <v>0</v>
      </c>
    </row>
    <row r="105" spans="1:36" s="36" customFormat="1" ht="15.75" x14ac:dyDescent="0.25">
      <c r="A105" s="34" t="s">
        <v>398</v>
      </c>
      <c r="B105" s="35" t="s">
        <v>225</v>
      </c>
      <c r="C105" s="52" t="s">
        <v>45</v>
      </c>
      <c r="D105" s="52" t="s">
        <v>45</v>
      </c>
      <c r="E105" s="52" t="s">
        <v>320</v>
      </c>
      <c r="F105" s="52">
        <v>44409</v>
      </c>
      <c r="G105" s="52">
        <v>44649</v>
      </c>
      <c r="H105" s="50"/>
      <c r="I105" s="53">
        <v>1500000</v>
      </c>
      <c r="J105" s="53"/>
      <c r="K105" s="53"/>
      <c r="L105" s="53"/>
      <c r="M105" s="53"/>
      <c r="N105" s="53"/>
      <c r="O105" s="47"/>
      <c r="P105" s="115">
        <v>0</v>
      </c>
      <c r="Q105" s="47"/>
      <c r="R105" s="115">
        <v>0</v>
      </c>
      <c r="S105" s="115">
        <v>0</v>
      </c>
      <c r="T105" s="115">
        <v>0</v>
      </c>
      <c r="U105" s="115">
        <v>0</v>
      </c>
      <c r="V105" s="115">
        <v>0</v>
      </c>
      <c r="W105" s="115">
        <v>0</v>
      </c>
      <c r="X105" s="115">
        <v>0</v>
      </c>
      <c r="Y105" s="53"/>
      <c r="Z105" s="53"/>
      <c r="AA105" s="53"/>
      <c r="AB105" s="53"/>
      <c r="AC105" s="53"/>
      <c r="AD105" s="47"/>
      <c r="AE105" s="275">
        <v>1500000</v>
      </c>
      <c r="AF105" s="53"/>
      <c r="AG105" s="47"/>
      <c r="AH105" s="53">
        <f t="shared" si="20"/>
        <v>1500000</v>
      </c>
      <c r="AI105" s="51"/>
      <c r="AJ105" s="218">
        <f t="shared" si="23"/>
        <v>0</v>
      </c>
    </row>
    <row r="106" spans="1:36" s="36" customFormat="1" ht="15.75" x14ac:dyDescent="0.25">
      <c r="A106" s="104" t="s">
        <v>337</v>
      </c>
      <c r="B106" s="105" t="s">
        <v>422</v>
      </c>
      <c r="C106" s="87" t="s">
        <v>387</v>
      </c>
      <c r="D106" s="87" t="s">
        <v>45</v>
      </c>
      <c r="E106" s="87" t="s">
        <v>320</v>
      </c>
      <c r="F106" s="87" t="s">
        <v>319</v>
      </c>
      <c r="G106" s="87" t="s">
        <v>319</v>
      </c>
      <c r="H106" s="87" t="s">
        <v>319</v>
      </c>
      <c r="I106" s="181">
        <v>37392</v>
      </c>
      <c r="J106" s="53"/>
      <c r="K106" s="53"/>
      <c r="L106" s="53"/>
      <c r="M106" s="53"/>
      <c r="N106" s="53"/>
      <c r="O106" s="47"/>
      <c r="P106" s="115">
        <v>0</v>
      </c>
      <c r="Q106" s="47"/>
      <c r="R106" s="115">
        <v>0</v>
      </c>
      <c r="S106" s="115">
        <v>37392</v>
      </c>
      <c r="T106" s="115">
        <v>0</v>
      </c>
      <c r="U106" s="115">
        <v>0</v>
      </c>
      <c r="V106" s="115">
        <v>0</v>
      </c>
      <c r="W106" s="115">
        <v>0</v>
      </c>
      <c r="X106" s="115">
        <v>0</v>
      </c>
      <c r="Y106" s="58"/>
      <c r="Z106" s="58"/>
      <c r="AA106" s="58"/>
      <c r="AB106" s="58"/>
      <c r="AC106" s="58"/>
      <c r="AD106" s="47"/>
      <c r="AE106" s="53"/>
      <c r="AF106" s="53"/>
      <c r="AG106" s="47"/>
      <c r="AH106" s="53">
        <f t="shared" ref="AH106:AH111" si="24">SUM(P106:AG106)</f>
        <v>37392</v>
      </c>
      <c r="AI106" s="51"/>
      <c r="AJ106" s="246" t="s">
        <v>319</v>
      </c>
    </row>
    <row r="107" spans="1:36" s="36" customFormat="1" ht="15.75" x14ac:dyDescent="0.25">
      <c r="A107" s="104" t="s">
        <v>143</v>
      </c>
      <c r="B107" s="105" t="s">
        <v>145</v>
      </c>
      <c r="C107" s="87" t="s">
        <v>387</v>
      </c>
      <c r="D107" s="87" t="s">
        <v>389</v>
      </c>
      <c r="E107" s="87" t="s">
        <v>320</v>
      </c>
      <c r="F107" s="87">
        <v>44461</v>
      </c>
      <c r="G107" s="87">
        <v>44701</v>
      </c>
      <c r="H107" s="88">
        <f>((G107-F107)/7)/4.3</f>
        <v>7.9734219269102988</v>
      </c>
      <c r="I107" s="58">
        <v>600000</v>
      </c>
      <c r="J107" s="53">
        <v>1339023</v>
      </c>
      <c r="K107" s="53"/>
      <c r="L107" s="53"/>
      <c r="M107" s="53"/>
      <c r="N107" s="53"/>
      <c r="O107" s="47"/>
      <c r="P107" s="115">
        <v>0</v>
      </c>
      <c r="Q107" s="47"/>
      <c r="R107" s="115">
        <v>0</v>
      </c>
      <c r="S107" s="115">
        <v>0</v>
      </c>
      <c r="T107" s="115">
        <v>0</v>
      </c>
      <c r="U107" s="115">
        <v>0</v>
      </c>
      <c r="V107" s="115">
        <v>0</v>
      </c>
      <c r="W107" s="115">
        <v>0</v>
      </c>
      <c r="X107" s="115">
        <v>0</v>
      </c>
      <c r="Y107" s="275">
        <v>150000</v>
      </c>
      <c r="Z107" s="275">
        <v>150000</v>
      </c>
      <c r="AA107" s="275">
        <v>150000</v>
      </c>
      <c r="AB107" s="275">
        <v>150000</v>
      </c>
      <c r="AC107" s="58"/>
      <c r="AD107" s="47"/>
      <c r="AE107" s="53"/>
      <c r="AF107" s="53"/>
      <c r="AG107" s="47"/>
      <c r="AH107" s="53">
        <f t="shared" si="24"/>
        <v>600000</v>
      </c>
      <c r="AI107" s="51"/>
      <c r="AJ107" s="218">
        <f t="shared" ref="AJ107:AJ117" si="25">I107-AH107</f>
        <v>0</v>
      </c>
    </row>
    <row r="108" spans="1:36" s="36" customFormat="1" ht="15.75" x14ac:dyDescent="0.25">
      <c r="A108" s="104" t="s">
        <v>156</v>
      </c>
      <c r="B108" s="65" t="s">
        <v>427</v>
      </c>
      <c r="C108" s="52" t="s">
        <v>387</v>
      </c>
      <c r="D108" s="87" t="s">
        <v>45</v>
      </c>
      <c r="E108" s="52" t="s">
        <v>320</v>
      </c>
      <c r="F108" s="52">
        <v>44461</v>
      </c>
      <c r="G108" s="52">
        <v>44762</v>
      </c>
      <c r="H108" s="50">
        <f>((G108-F108)/7)/4.3</f>
        <v>10</v>
      </c>
      <c r="I108" s="53">
        <v>1700000</v>
      </c>
      <c r="J108" s="53"/>
      <c r="K108" s="53"/>
      <c r="L108" s="53"/>
      <c r="M108" s="53"/>
      <c r="N108" s="53"/>
      <c r="O108" s="47"/>
      <c r="P108" s="115">
        <v>0</v>
      </c>
      <c r="Q108" s="47"/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275">
        <v>75000</v>
      </c>
      <c r="Z108" s="275">
        <v>125000</v>
      </c>
      <c r="AA108" s="275">
        <v>200000</v>
      </c>
      <c r="AB108" s="275">
        <v>200000</v>
      </c>
      <c r="AC108" s="275">
        <v>200000</v>
      </c>
      <c r="AD108" s="47"/>
      <c r="AE108" s="275">
        <v>900000</v>
      </c>
      <c r="AF108" s="53"/>
      <c r="AG108" s="47"/>
      <c r="AH108" s="53">
        <f t="shared" si="24"/>
        <v>1700000</v>
      </c>
      <c r="AI108" s="51"/>
      <c r="AJ108" s="218">
        <f t="shared" si="25"/>
        <v>0</v>
      </c>
    </row>
    <row r="109" spans="1:36" s="36" customFormat="1" ht="15.75" x14ac:dyDescent="0.25">
      <c r="A109" s="104" t="s">
        <v>159</v>
      </c>
      <c r="B109" s="65" t="s">
        <v>428</v>
      </c>
      <c r="C109" s="52" t="s">
        <v>387</v>
      </c>
      <c r="D109" s="87" t="s">
        <v>45</v>
      </c>
      <c r="E109" s="52" t="s">
        <v>320</v>
      </c>
      <c r="F109" s="52">
        <v>44461</v>
      </c>
      <c r="G109" s="52">
        <v>44701</v>
      </c>
      <c r="H109" s="50">
        <f>((G109-F109)/7)/4.3</f>
        <v>7.9734219269102988</v>
      </c>
      <c r="I109" s="53">
        <v>225000</v>
      </c>
      <c r="J109" s="53"/>
      <c r="K109" s="53"/>
      <c r="L109" s="53"/>
      <c r="M109" s="53"/>
      <c r="N109" s="53"/>
      <c r="O109" s="47"/>
      <c r="P109" s="115">
        <v>0</v>
      </c>
      <c r="Q109" s="47"/>
      <c r="R109" s="115">
        <v>0</v>
      </c>
      <c r="S109" s="115">
        <v>0</v>
      </c>
      <c r="T109" s="115">
        <v>0</v>
      </c>
      <c r="U109" s="115">
        <v>0</v>
      </c>
      <c r="V109" s="115">
        <v>0</v>
      </c>
      <c r="W109" s="115">
        <v>0</v>
      </c>
      <c r="X109" s="115">
        <v>0</v>
      </c>
      <c r="Y109" s="58"/>
      <c r="Z109" s="275">
        <v>50000</v>
      </c>
      <c r="AA109" s="275">
        <v>50000</v>
      </c>
      <c r="AB109" s="275">
        <v>50000</v>
      </c>
      <c r="AC109" s="275">
        <v>50000</v>
      </c>
      <c r="AD109" s="47"/>
      <c r="AE109" s="275">
        <v>25000</v>
      </c>
      <c r="AF109" s="53"/>
      <c r="AG109" s="47"/>
      <c r="AH109" s="53">
        <f t="shared" si="24"/>
        <v>225000</v>
      </c>
      <c r="AI109" s="51"/>
      <c r="AJ109" s="218">
        <f t="shared" si="25"/>
        <v>0</v>
      </c>
    </row>
    <row r="110" spans="1:36" s="36" customFormat="1" ht="15.75" x14ac:dyDescent="0.25">
      <c r="A110" s="104" t="s">
        <v>147</v>
      </c>
      <c r="B110" s="65" t="s">
        <v>423</v>
      </c>
      <c r="C110" s="52" t="s">
        <v>387</v>
      </c>
      <c r="D110" s="87" t="s">
        <v>45</v>
      </c>
      <c r="E110" s="52" t="s">
        <v>320</v>
      </c>
      <c r="F110" s="52">
        <v>44461</v>
      </c>
      <c r="G110" s="52">
        <v>44701</v>
      </c>
      <c r="H110" s="50">
        <f>((G110-F110)/7)/4.3</f>
        <v>7.9734219269102988</v>
      </c>
      <c r="I110" s="53">
        <v>750000</v>
      </c>
      <c r="J110" s="53"/>
      <c r="K110" s="53"/>
      <c r="L110" s="53"/>
      <c r="M110" s="53"/>
      <c r="N110" s="53"/>
      <c r="O110" s="47"/>
      <c r="P110" s="115">
        <v>0</v>
      </c>
      <c r="Q110" s="47"/>
      <c r="R110" s="115">
        <v>0</v>
      </c>
      <c r="S110" s="115">
        <v>0</v>
      </c>
      <c r="T110" s="115">
        <v>0</v>
      </c>
      <c r="U110" s="115">
        <v>0</v>
      </c>
      <c r="V110" s="115">
        <v>0</v>
      </c>
      <c r="W110" s="115">
        <v>0</v>
      </c>
      <c r="X110" s="115">
        <v>0</v>
      </c>
      <c r="Y110" s="275">
        <v>150000</v>
      </c>
      <c r="Z110" s="275">
        <v>150000</v>
      </c>
      <c r="AA110" s="275">
        <v>150000</v>
      </c>
      <c r="AB110" s="275">
        <v>150000</v>
      </c>
      <c r="AC110" s="275">
        <v>150000</v>
      </c>
      <c r="AD110" s="47"/>
      <c r="AE110" s="58"/>
      <c r="AF110" s="53"/>
      <c r="AG110" s="47"/>
      <c r="AH110" s="53">
        <f t="shared" si="24"/>
        <v>750000</v>
      </c>
      <c r="AI110" s="51"/>
      <c r="AJ110" s="218">
        <f t="shared" si="25"/>
        <v>0</v>
      </c>
    </row>
    <row r="111" spans="1:36" s="36" customFormat="1" ht="15.75" x14ac:dyDescent="0.25">
      <c r="A111" s="183" t="s">
        <v>340</v>
      </c>
      <c r="B111" s="184" t="s">
        <v>429</v>
      </c>
      <c r="C111" s="52" t="s">
        <v>387</v>
      </c>
      <c r="D111" s="87" t="s">
        <v>45</v>
      </c>
      <c r="E111" s="52" t="s">
        <v>320</v>
      </c>
      <c r="F111" s="52" t="s">
        <v>319</v>
      </c>
      <c r="G111" s="52" t="s">
        <v>319</v>
      </c>
      <c r="H111" s="52" t="s">
        <v>319</v>
      </c>
      <c r="I111" s="53">
        <v>3575</v>
      </c>
      <c r="J111" s="53"/>
      <c r="K111" s="53"/>
      <c r="L111" s="53"/>
      <c r="M111" s="53"/>
      <c r="N111" s="53"/>
      <c r="O111" s="47"/>
      <c r="P111" s="115">
        <v>0</v>
      </c>
      <c r="Q111" s="47"/>
      <c r="R111" s="115">
        <v>0</v>
      </c>
      <c r="S111" s="115">
        <v>3575</v>
      </c>
      <c r="T111" s="115">
        <v>0</v>
      </c>
      <c r="U111" s="115">
        <v>0</v>
      </c>
      <c r="V111" s="115">
        <v>0</v>
      </c>
      <c r="W111" s="115">
        <v>0</v>
      </c>
      <c r="X111" s="115">
        <v>0</v>
      </c>
      <c r="Y111" s="58"/>
      <c r="Z111" s="58"/>
      <c r="AA111" s="58"/>
      <c r="AB111" s="58"/>
      <c r="AC111" s="58"/>
      <c r="AD111" s="47"/>
      <c r="AE111" s="58"/>
      <c r="AF111" s="53"/>
      <c r="AG111" s="47"/>
      <c r="AH111" s="53">
        <f t="shared" si="24"/>
        <v>3575</v>
      </c>
      <c r="AI111" s="51"/>
      <c r="AJ111" s="218">
        <f t="shared" si="25"/>
        <v>0</v>
      </c>
    </row>
    <row r="112" spans="1:36" s="36" customFormat="1" ht="15.75" x14ac:dyDescent="0.25">
      <c r="A112" s="34" t="s">
        <v>228</v>
      </c>
      <c r="B112" s="35" t="s">
        <v>443</v>
      </c>
      <c r="C112" s="52" t="s">
        <v>45</v>
      </c>
      <c r="D112" s="52" t="s">
        <v>389</v>
      </c>
      <c r="E112" s="52" t="s">
        <v>320</v>
      </c>
      <c r="F112" s="52"/>
      <c r="G112" s="52"/>
      <c r="H112" s="50"/>
      <c r="I112" s="53">
        <v>1750000</v>
      </c>
      <c r="J112" s="53"/>
      <c r="K112" s="53"/>
      <c r="L112" s="53"/>
      <c r="M112" s="53"/>
      <c r="N112" s="53"/>
      <c r="O112" s="47"/>
      <c r="P112" s="115">
        <v>0</v>
      </c>
      <c r="Q112" s="47"/>
      <c r="R112" s="115">
        <v>0</v>
      </c>
      <c r="S112" s="115">
        <v>0</v>
      </c>
      <c r="T112" s="115">
        <v>0</v>
      </c>
      <c r="U112" s="115">
        <v>0</v>
      </c>
      <c r="V112" s="115">
        <v>0</v>
      </c>
      <c r="W112" s="115">
        <v>0</v>
      </c>
      <c r="X112" s="115">
        <v>0</v>
      </c>
      <c r="Y112" s="53"/>
      <c r="Z112" s="53"/>
      <c r="AA112" s="53"/>
      <c r="AB112" s="53"/>
      <c r="AC112" s="53"/>
      <c r="AD112" s="47"/>
      <c r="AE112" s="275">
        <v>1750000</v>
      </c>
      <c r="AF112" s="53"/>
      <c r="AG112" s="47"/>
      <c r="AH112" s="53">
        <f t="shared" si="20"/>
        <v>1750000</v>
      </c>
      <c r="AI112" s="51"/>
      <c r="AJ112" s="218">
        <f t="shared" si="25"/>
        <v>0</v>
      </c>
    </row>
    <row r="113" spans="1:37" s="36" customFormat="1" ht="15.75" x14ac:dyDescent="0.25">
      <c r="A113" s="34"/>
      <c r="B113" s="35"/>
      <c r="C113" s="52"/>
      <c r="D113" s="52"/>
      <c r="E113" s="52"/>
      <c r="F113" s="52"/>
      <c r="G113" s="52"/>
      <c r="H113" s="50"/>
      <c r="I113" s="53"/>
      <c r="J113" s="53"/>
      <c r="K113" s="53"/>
      <c r="L113" s="53"/>
      <c r="M113" s="53"/>
      <c r="N113" s="53"/>
      <c r="O113" s="47"/>
      <c r="P113" s="115">
        <v>0</v>
      </c>
      <c r="Q113" s="47"/>
      <c r="R113" s="115">
        <v>0</v>
      </c>
      <c r="S113" s="115">
        <v>0</v>
      </c>
      <c r="T113" s="115">
        <v>0</v>
      </c>
      <c r="U113" s="115">
        <v>0</v>
      </c>
      <c r="V113" s="115">
        <v>0</v>
      </c>
      <c r="W113" s="115">
        <v>0</v>
      </c>
      <c r="X113" s="115">
        <v>0</v>
      </c>
      <c r="Y113" s="53"/>
      <c r="Z113" s="53"/>
      <c r="AA113" s="53"/>
      <c r="AB113" s="53"/>
      <c r="AC113" s="53"/>
      <c r="AD113" s="47"/>
      <c r="AE113" s="53"/>
      <c r="AF113" s="53"/>
      <c r="AG113" s="47"/>
      <c r="AH113" s="53">
        <f t="shared" si="20"/>
        <v>0</v>
      </c>
      <c r="AI113" s="51"/>
      <c r="AJ113" s="218">
        <f t="shared" si="25"/>
        <v>0</v>
      </c>
    </row>
    <row r="114" spans="1:37" s="36" customFormat="1" ht="15.75" x14ac:dyDescent="0.25">
      <c r="A114" s="34"/>
      <c r="B114" s="35"/>
      <c r="C114" s="52"/>
      <c r="D114" s="52"/>
      <c r="E114" s="52"/>
      <c r="F114" s="52"/>
      <c r="G114" s="52"/>
      <c r="H114" s="50"/>
      <c r="I114" s="53"/>
      <c r="J114" s="53"/>
      <c r="K114" s="53"/>
      <c r="L114" s="53"/>
      <c r="M114" s="53"/>
      <c r="N114" s="53"/>
      <c r="O114" s="47"/>
      <c r="P114" s="115">
        <v>0</v>
      </c>
      <c r="Q114" s="47"/>
      <c r="R114" s="115">
        <v>0</v>
      </c>
      <c r="S114" s="115">
        <v>0</v>
      </c>
      <c r="T114" s="115">
        <v>0</v>
      </c>
      <c r="U114" s="115">
        <v>0</v>
      </c>
      <c r="V114" s="115">
        <v>0</v>
      </c>
      <c r="W114" s="115">
        <v>0</v>
      </c>
      <c r="X114" s="115">
        <v>0</v>
      </c>
      <c r="Y114" s="53"/>
      <c r="Z114" s="53"/>
      <c r="AA114" s="53"/>
      <c r="AB114" s="53"/>
      <c r="AC114" s="53"/>
      <c r="AD114" s="47"/>
      <c r="AE114" s="53"/>
      <c r="AF114" s="53"/>
      <c r="AG114" s="47"/>
      <c r="AH114" s="53">
        <f t="shared" si="20"/>
        <v>0</v>
      </c>
      <c r="AI114" s="51"/>
      <c r="AJ114" s="218">
        <f t="shared" si="25"/>
        <v>0</v>
      </c>
    </row>
    <row r="115" spans="1:37" s="36" customFormat="1" ht="15.75" x14ac:dyDescent="0.25">
      <c r="A115" s="99"/>
      <c r="B115" s="100"/>
      <c r="C115" s="91"/>
      <c r="D115" s="91"/>
      <c r="E115" s="91"/>
      <c r="F115" s="91"/>
      <c r="G115" s="91"/>
      <c r="H115" s="92"/>
      <c r="I115" s="59">
        <f>SUM(I66:I114)</f>
        <v>39826256</v>
      </c>
      <c r="J115" s="59"/>
      <c r="K115" s="59"/>
      <c r="L115" s="59"/>
      <c r="M115" s="59"/>
      <c r="N115" s="59"/>
      <c r="O115" s="47"/>
      <c r="P115" s="59">
        <f>SUM(P66:P114)</f>
        <v>122184</v>
      </c>
      <c r="Q115" s="47"/>
      <c r="R115" s="59">
        <f>SUM(R66:R114)</f>
        <v>353138</v>
      </c>
      <c r="S115" s="59">
        <f t="shared" ref="S115:AC115" si="26">SUM(S66:S114)</f>
        <v>188750</v>
      </c>
      <c r="T115" s="59">
        <f t="shared" si="26"/>
        <v>71648</v>
      </c>
      <c r="U115" s="59">
        <f t="shared" si="26"/>
        <v>155902</v>
      </c>
      <c r="V115" s="59">
        <f t="shared" si="26"/>
        <v>138757</v>
      </c>
      <c r="W115" s="59">
        <f t="shared" si="26"/>
        <v>170152</v>
      </c>
      <c r="X115" s="59">
        <f t="shared" si="26"/>
        <v>5637</v>
      </c>
      <c r="Y115" s="59">
        <f t="shared" si="26"/>
        <v>1280000</v>
      </c>
      <c r="Z115" s="59">
        <f t="shared" si="26"/>
        <v>1750000</v>
      </c>
      <c r="AA115" s="59">
        <f t="shared" si="26"/>
        <v>2850000</v>
      </c>
      <c r="AB115" s="59">
        <f t="shared" si="26"/>
        <v>2950000</v>
      </c>
      <c r="AC115" s="59">
        <f t="shared" si="26"/>
        <v>2800000</v>
      </c>
      <c r="AD115" s="47"/>
      <c r="AE115" s="59">
        <f>SUM(AE66:AE114)</f>
        <v>26706593</v>
      </c>
      <c r="AF115" s="59">
        <f>SUM(AF66:AF114)</f>
        <v>0</v>
      </c>
      <c r="AG115" s="47"/>
      <c r="AH115" s="53">
        <f>SUM(P115:AG115)</f>
        <v>39542761</v>
      </c>
      <c r="AI115" s="51"/>
      <c r="AJ115" s="218">
        <f t="shared" si="25"/>
        <v>283495</v>
      </c>
      <c r="AK115" s="55"/>
    </row>
    <row r="116" spans="1:37" s="36" customFormat="1" ht="16.5" thickBot="1" x14ac:dyDescent="0.3">
      <c r="A116" s="34"/>
      <c r="B116" s="35"/>
      <c r="C116" s="52"/>
      <c r="D116" s="52"/>
      <c r="E116" s="52"/>
      <c r="F116" s="52"/>
      <c r="G116" s="141"/>
      <c r="H116" s="142"/>
      <c r="I116" s="143"/>
      <c r="J116" s="143"/>
      <c r="K116" s="143"/>
      <c r="L116" s="143"/>
      <c r="M116" s="143"/>
      <c r="N116" s="143"/>
      <c r="O116" s="144"/>
      <c r="P116" s="143"/>
      <c r="Q116" s="144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4"/>
      <c r="AE116" s="143"/>
      <c r="AF116" s="143"/>
      <c r="AG116" s="144"/>
      <c r="AH116" s="143"/>
      <c r="AI116" s="145"/>
      <c r="AJ116" s="218">
        <f t="shared" si="25"/>
        <v>0</v>
      </c>
    </row>
    <row r="117" spans="1:37" s="36" customFormat="1" ht="16.5" thickBot="1" x14ac:dyDescent="0.3">
      <c r="C117" s="37"/>
      <c r="D117" s="37"/>
      <c r="E117" s="37"/>
      <c r="F117" s="37"/>
      <c r="G117" s="70"/>
      <c r="H117" s="148" t="s">
        <v>445</v>
      </c>
      <c r="I117" s="149">
        <f t="shared" ref="I117:N117" si="27">I16+I50+I64+I38+I41+I45+I60+I30+I115</f>
        <v>95241268</v>
      </c>
      <c r="J117" s="149">
        <f t="shared" si="27"/>
        <v>0</v>
      </c>
      <c r="K117" s="149">
        <f t="shared" si="27"/>
        <v>0</v>
      </c>
      <c r="L117" s="149">
        <f t="shared" si="27"/>
        <v>0</v>
      </c>
      <c r="M117" s="149">
        <f t="shared" si="27"/>
        <v>0</v>
      </c>
      <c r="N117" s="149">
        <f t="shared" si="27"/>
        <v>0</v>
      </c>
      <c r="O117" s="144"/>
      <c r="P117" s="149">
        <f>P16+P50+P64+P38+P41+P45+P60+P30+P115</f>
        <v>13135775</v>
      </c>
      <c r="Q117" s="144"/>
      <c r="R117" s="149">
        <f t="shared" ref="R117:AC117" si="28">R16+R50+R64+R38+R41+R45+R60+R30+R115</f>
        <v>4162260</v>
      </c>
      <c r="S117" s="149">
        <f t="shared" si="28"/>
        <v>2557426</v>
      </c>
      <c r="T117" s="149">
        <f t="shared" si="28"/>
        <v>3875711</v>
      </c>
      <c r="U117" s="149">
        <f t="shared" si="28"/>
        <v>4027943</v>
      </c>
      <c r="V117" s="149">
        <f t="shared" si="28"/>
        <v>3476415</v>
      </c>
      <c r="W117" s="149">
        <f t="shared" si="28"/>
        <v>4918347</v>
      </c>
      <c r="X117" s="149">
        <f t="shared" si="28"/>
        <v>3019590</v>
      </c>
      <c r="Y117" s="149">
        <f t="shared" si="28"/>
        <v>5700226</v>
      </c>
      <c r="Z117" s="149">
        <f t="shared" si="28"/>
        <v>4998147</v>
      </c>
      <c r="AA117" s="149">
        <f t="shared" si="28"/>
        <v>5985884</v>
      </c>
      <c r="AB117" s="149">
        <f t="shared" si="28"/>
        <v>5535640</v>
      </c>
      <c r="AC117" s="149">
        <f t="shared" si="28"/>
        <v>4441140</v>
      </c>
      <c r="AD117" s="144"/>
      <c r="AE117" s="149">
        <f>AE16+AE50+AE64+AE38+AE41+AE45+AE60+AE30+AE115</f>
        <v>29123269</v>
      </c>
      <c r="AF117" s="149">
        <f>AF16+AF50+AF64+AF38+AF41+AF45+AF60+AF30+AF115</f>
        <v>0</v>
      </c>
      <c r="AG117" s="150"/>
      <c r="AH117" s="152">
        <f>SUM(P117:AG117)</f>
        <v>94957773</v>
      </c>
      <c r="AI117" s="153"/>
      <c r="AJ117" s="218">
        <f t="shared" si="25"/>
        <v>283495</v>
      </c>
      <c r="AK117" s="55"/>
    </row>
    <row r="118" spans="1:37" s="90" customFormat="1" ht="15.75" x14ac:dyDescent="0.25">
      <c r="C118" s="122"/>
      <c r="D118" s="122"/>
      <c r="E118" s="122"/>
      <c r="F118" s="122"/>
      <c r="G118" s="123"/>
      <c r="H118" s="124"/>
      <c r="I118" s="124" t="s">
        <v>405</v>
      </c>
      <c r="J118" s="125"/>
      <c r="K118" s="125"/>
      <c r="L118" s="125"/>
      <c r="M118" s="125"/>
      <c r="N118" s="125"/>
      <c r="O118" s="126"/>
      <c r="P118" s="125">
        <v>14657045</v>
      </c>
      <c r="Q118" s="126"/>
      <c r="R118" s="128">
        <v>2798117.1428571427</v>
      </c>
      <c r="S118" s="128">
        <v>3206824.6428571427</v>
      </c>
      <c r="T118" s="128">
        <v>4008392.6428571427</v>
      </c>
      <c r="U118" s="128">
        <v>4318997.6428571427</v>
      </c>
      <c r="V118" s="128">
        <v>5069566.6428571418</v>
      </c>
      <c r="W118" s="128">
        <v>5575814.6428571418</v>
      </c>
      <c r="X118" s="128">
        <v>5314704.6428571418</v>
      </c>
      <c r="Y118" s="128">
        <v>5476840</v>
      </c>
      <c r="Z118" s="128">
        <v>5359959</v>
      </c>
      <c r="AA118" s="128">
        <v>6173564</v>
      </c>
      <c r="AB118" s="128">
        <v>5501722</v>
      </c>
      <c r="AC118" s="128">
        <v>3866535</v>
      </c>
      <c r="AD118" s="146"/>
      <c r="AE118" s="125">
        <v>16008105</v>
      </c>
      <c r="AF118" s="125"/>
      <c r="AG118" s="146"/>
      <c r="AH118" s="125"/>
      <c r="AI118" s="126"/>
      <c r="AJ118" s="273"/>
    </row>
    <row r="119" spans="1:37" ht="15.75" x14ac:dyDescent="0.25">
      <c r="G119" s="75"/>
      <c r="I119" s="38" t="s">
        <v>406</v>
      </c>
      <c r="J119" s="76"/>
      <c r="K119" s="76"/>
      <c r="L119" s="76"/>
      <c r="M119" s="76"/>
      <c r="N119" s="76"/>
      <c r="O119" s="77"/>
      <c r="P119" s="128">
        <f>P117-P118</f>
        <v>-1521270</v>
      </c>
      <c r="Q119" s="126"/>
      <c r="R119" s="128">
        <f>R117-R118</f>
        <v>1364142.8571428573</v>
      </c>
      <c r="S119" s="128">
        <f t="shared" ref="S119:AC119" si="29">S117-S118</f>
        <v>-649398.64285714272</v>
      </c>
      <c r="T119" s="128">
        <f t="shared" si="29"/>
        <v>-132681.64285714272</v>
      </c>
      <c r="U119" s="128">
        <f t="shared" si="29"/>
        <v>-291054.64285714272</v>
      </c>
      <c r="V119" s="128">
        <f t="shared" si="29"/>
        <v>-1593151.6428571418</v>
      </c>
      <c r="W119" s="128">
        <f t="shared" si="29"/>
        <v>-657467.64285714179</v>
      </c>
      <c r="X119" s="128">
        <f t="shared" si="29"/>
        <v>-2295114.6428571418</v>
      </c>
      <c r="Y119" s="128">
        <f t="shared" si="29"/>
        <v>223386</v>
      </c>
      <c r="Z119" s="128">
        <f t="shared" si="29"/>
        <v>-361812</v>
      </c>
      <c r="AA119" s="128">
        <f t="shared" si="29"/>
        <v>-187680</v>
      </c>
      <c r="AB119" s="128">
        <f t="shared" si="29"/>
        <v>33918</v>
      </c>
      <c r="AC119" s="128">
        <f t="shared" si="29"/>
        <v>574605</v>
      </c>
      <c r="AD119" s="127"/>
      <c r="AE119" s="125"/>
      <c r="AF119" s="125"/>
      <c r="AG119" s="47"/>
      <c r="AH119" s="76"/>
      <c r="AI119" s="77"/>
      <c r="AJ119" s="273"/>
    </row>
    <row r="120" spans="1:37" ht="15.75" x14ac:dyDescent="0.25">
      <c r="I120" s="38"/>
      <c r="Q120" s="132"/>
      <c r="R120" s="130"/>
      <c r="S120" s="130"/>
      <c r="T120" s="130"/>
      <c r="U120" s="133"/>
      <c r="V120" s="133"/>
      <c r="W120" s="133"/>
      <c r="X120" s="130"/>
      <c r="Y120" s="130"/>
      <c r="Z120" s="130"/>
      <c r="AA120" s="130"/>
      <c r="AB120" s="130"/>
      <c r="AC120" s="130"/>
      <c r="AD120" s="127"/>
      <c r="AE120" s="130"/>
      <c r="AF120" s="130"/>
      <c r="AG120" s="47"/>
      <c r="AJ120" s="274"/>
    </row>
    <row r="121" spans="1:37" ht="15.75" x14ac:dyDescent="0.25">
      <c r="I121" s="38" t="s">
        <v>407</v>
      </c>
      <c r="Q121" s="132"/>
      <c r="R121" s="136">
        <v>2897650</v>
      </c>
      <c r="S121" s="136">
        <v>3085444</v>
      </c>
      <c r="T121" s="136">
        <v>3369732</v>
      </c>
      <c r="U121" s="133"/>
      <c r="V121" s="133"/>
      <c r="W121" s="133"/>
      <c r="X121" s="130"/>
      <c r="Y121" s="130"/>
      <c r="Z121" s="130"/>
      <c r="AA121" s="130"/>
      <c r="AB121" s="130"/>
      <c r="AC121" s="130"/>
      <c r="AD121" s="127"/>
      <c r="AE121" s="130"/>
      <c r="AF121" s="130"/>
      <c r="AG121" s="47"/>
      <c r="AJ121" s="274"/>
    </row>
    <row r="122" spans="1:37" ht="15.75" x14ac:dyDescent="0.25">
      <c r="I122" s="38" t="s">
        <v>408</v>
      </c>
      <c r="Q122" s="132"/>
      <c r="R122" s="130">
        <f>(R118*0.9)*0.887</f>
        <v>2233736.915142857</v>
      </c>
      <c r="S122" s="130">
        <f t="shared" ref="S122:AE122" si="30">(S118*0.9)*0.887</f>
        <v>2560008.1123928572</v>
      </c>
      <c r="T122" s="130">
        <f t="shared" si="30"/>
        <v>3199899.8467928572</v>
      </c>
      <c r="U122" s="130">
        <f t="shared" si="30"/>
        <v>3447855.8182928571</v>
      </c>
      <c r="V122" s="130">
        <f t="shared" si="30"/>
        <v>4047035.0509928567</v>
      </c>
      <c r="W122" s="130">
        <f t="shared" si="30"/>
        <v>4451172.8293928569</v>
      </c>
      <c r="X122" s="130">
        <f t="shared" si="30"/>
        <v>4242728.716392857</v>
      </c>
      <c r="Y122" s="130">
        <f t="shared" si="30"/>
        <v>4372161.3720000004</v>
      </c>
      <c r="Z122" s="130">
        <f t="shared" si="30"/>
        <v>4278855.269700001</v>
      </c>
      <c r="AA122" s="130">
        <f t="shared" si="30"/>
        <v>4928356.1412000004</v>
      </c>
      <c r="AB122" s="130">
        <f t="shared" si="30"/>
        <v>4392024.6726000002</v>
      </c>
      <c r="AC122" s="130">
        <f t="shared" si="30"/>
        <v>3086654.8905000002</v>
      </c>
      <c r="AD122" s="127"/>
      <c r="AE122" s="130">
        <f t="shared" si="30"/>
        <v>12779270.2215</v>
      </c>
      <c r="AF122" s="130"/>
      <c r="AG122" s="47"/>
      <c r="AJ122" s="274"/>
    </row>
    <row r="123" spans="1:37" ht="15.75" x14ac:dyDescent="0.25">
      <c r="I123" s="38" t="s">
        <v>406</v>
      </c>
      <c r="Q123" s="132"/>
      <c r="R123" s="130">
        <f>R121-R122</f>
        <v>663913.084857143</v>
      </c>
      <c r="S123" s="130">
        <f>S121-S122</f>
        <v>525435.88760714279</v>
      </c>
      <c r="T123" s="130">
        <f>T121-T122</f>
        <v>169832.15320714284</v>
      </c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27"/>
      <c r="AE123" s="130"/>
      <c r="AF123" s="130"/>
      <c r="AG123" s="47"/>
      <c r="AJ123" s="274"/>
    </row>
    <row r="124" spans="1:37" ht="15.75" x14ac:dyDescent="0.25">
      <c r="I124" s="38"/>
      <c r="Q124" s="132"/>
      <c r="R124" s="130"/>
      <c r="S124" s="130"/>
      <c r="T124" s="130"/>
      <c r="U124" s="133"/>
      <c r="V124" s="133"/>
      <c r="W124" s="133"/>
      <c r="X124" s="130"/>
      <c r="Y124" s="130"/>
      <c r="Z124" s="130"/>
      <c r="AA124" s="130"/>
      <c r="AB124" s="130"/>
      <c r="AC124" s="130"/>
      <c r="AD124" s="127"/>
      <c r="AE124" s="130"/>
      <c r="AF124" s="130"/>
      <c r="AG124" s="47"/>
      <c r="AJ124" s="274"/>
    </row>
    <row r="125" spans="1:37" ht="15.75" x14ac:dyDescent="0.25">
      <c r="I125" s="38" t="s">
        <v>409</v>
      </c>
      <c r="Q125" s="132"/>
      <c r="R125" s="136">
        <v>261214</v>
      </c>
      <c r="S125" s="136">
        <v>325090</v>
      </c>
      <c r="T125" s="136">
        <v>157521</v>
      </c>
      <c r="U125" s="133"/>
      <c r="V125" s="133"/>
      <c r="W125" s="133"/>
      <c r="X125" s="130"/>
      <c r="Y125" s="130"/>
      <c r="Z125" s="130"/>
      <c r="AA125" s="130"/>
      <c r="AB125" s="130"/>
      <c r="AC125" s="130"/>
      <c r="AD125" s="127"/>
      <c r="AE125" s="130"/>
      <c r="AF125" s="130"/>
      <c r="AG125" s="47"/>
      <c r="AJ125" s="274"/>
    </row>
    <row r="126" spans="1:37" ht="15.75" x14ac:dyDescent="0.25">
      <c r="I126" s="38" t="s">
        <v>410</v>
      </c>
      <c r="Q126" s="132"/>
      <c r="R126" s="130">
        <f t="shared" ref="R126:AC126" si="31">(R118*0.877)*0.1</f>
        <v>245394.87342857142</v>
      </c>
      <c r="S126" s="130">
        <f t="shared" si="31"/>
        <v>281238.52117857145</v>
      </c>
      <c r="T126" s="130">
        <f t="shared" si="31"/>
        <v>351536.03477857145</v>
      </c>
      <c r="U126" s="130">
        <f t="shared" si="31"/>
        <v>378776.09327857144</v>
      </c>
      <c r="V126" s="130">
        <f t="shared" si="31"/>
        <v>444600.99457857135</v>
      </c>
      <c r="W126" s="130">
        <f t="shared" si="31"/>
        <v>488998.9441785714</v>
      </c>
      <c r="X126" s="130">
        <f t="shared" si="31"/>
        <v>466099.59717857133</v>
      </c>
      <c r="Y126" s="130">
        <f t="shared" si="31"/>
        <v>480318.86800000002</v>
      </c>
      <c r="Z126" s="130">
        <f t="shared" si="31"/>
        <v>470068.40429999999</v>
      </c>
      <c r="AA126" s="130">
        <f t="shared" si="31"/>
        <v>541421.56279999996</v>
      </c>
      <c r="AB126" s="130">
        <f t="shared" si="31"/>
        <v>482501.01940000005</v>
      </c>
      <c r="AC126" s="130">
        <f t="shared" si="31"/>
        <v>339095.11950000003</v>
      </c>
      <c r="AD126" s="127"/>
      <c r="AE126" s="130">
        <f>(AE118*0.877)*0.1</f>
        <v>1403910.8085000003</v>
      </c>
      <c r="AF126" s="130"/>
      <c r="AG126" s="47"/>
      <c r="AJ126" s="274"/>
    </row>
    <row r="127" spans="1:37" ht="15.75" x14ac:dyDescent="0.25">
      <c r="G127" s="75"/>
      <c r="I127" s="38" t="s">
        <v>406</v>
      </c>
      <c r="J127" s="76"/>
      <c r="K127" s="76"/>
      <c r="L127" s="76"/>
      <c r="M127" s="76"/>
      <c r="N127" s="76"/>
      <c r="O127" s="77"/>
      <c r="P127" s="125"/>
      <c r="Q127" s="126"/>
      <c r="R127" s="128">
        <f>R125-R126</f>
        <v>15819.126571428584</v>
      </c>
      <c r="S127" s="128">
        <f>S125-S126</f>
        <v>43851.478821428551</v>
      </c>
      <c r="T127" s="128">
        <f>T125-T126</f>
        <v>-194015.03477857145</v>
      </c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7"/>
      <c r="AE127" s="125"/>
      <c r="AF127" s="125"/>
      <c r="AG127" s="47"/>
      <c r="AH127" s="76"/>
      <c r="AI127" s="77"/>
      <c r="AJ127" s="273"/>
    </row>
    <row r="128" spans="1:37" ht="15.75" x14ac:dyDescent="0.25">
      <c r="G128" s="75"/>
      <c r="I128" s="38"/>
      <c r="J128" s="76"/>
      <c r="K128" s="76"/>
      <c r="L128" s="76"/>
      <c r="M128" s="76"/>
      <c r="N128" s="76"/>
      <c r="O128" s="77"/>
      <c r="P128" s="125"/>
      <c r="Q128" s="126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7"/>
      <c r="AE128" s="125"/>
      <c r="AF128" s="125"/>
      <c r="AG128" s="47"/>
      <c r="AH128" s="76"/>
      <c r="AI128" s="77"/>
      <c r="AJ128" s="273"/>
    </row>
    <row r="129" spans="1:36" ht="15.75" x14ac:dyDescent="0.25">
      <c r="G129" s="75"/>
      <c r="I129" s="38" t="s">
        <v>411</v>
      </c>
      <c r="J129" s="76"/>
      <c r="K129" s="76"/>
      <c r="L129" s="76"/>
      <c r="M129" s="76"/>
      <c r="N129" s="76"/>
      <c r="O129" s="77"/>
      <c r="P129" s="125"/>
      <c r="Q129" s="126"/>
      <c r="R129" s="139">
        <v>9.01E-2</v>
      </c>
      <c r="S129" s="139">
        <v>0.10539999999999999</v>
      </c>
      <c r="T129" s="139">
        <v>4.6699999999999998E-2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27"/>
      <c r="AE129" s="125"/>
      <c r="AF129" s="125"/>
      <c r="AG129" s="47"/>
      <c r="AH129" s="76"/>
      <c r="AI129" s="77"/>
      <c r="AJ129" s="273"/>
    </row>
    <row r="130" spans="1:36" ht="15.75" x14ac:dyDescent="0.25">
      <c r="G130" s="75"/>
      <c r="I130" s="38" t="s">
        <v>412</v>
      </c>
      <c r="J130" s="76"/>
      <c r="K130" s="76"/>
      <c r="L130" s="76"/>
      <c r="M130" s="76"/>
      <c r="N130" s="76"/>
      <c r="O130" s="77"/>
      <c r="P130" s="125"/>
      <c r="Q130" s="126"/>
      <c r="R130" s="137">
        <v>0.1</v>
      </c>
      <c r="S130" s="137">
        <v>0.1</v>
      </c>
      <c r="T130" s="137">
        <v>0.1</v>
      </c>
      <c r="U130" s="137">
        <v>0.1</v>
      </c>
      <c r="V130" s="137">
        <v>0.1</v>
      </c>
      <c r="W130" s="137">
        <v>0.1</v>
      </c>
      <c r="X130" s="137">
        <v>0.1</v>
      </c>
      <c r="Y130" s="137">
        <v>0.1</v>
      </c>
      <c r="Z130" s="137">
        <v>0.1</v>
      </c>
      <c r="AA130" s="137">
        <v>0.1</v>
      </c>
      <c r="AB130" s="137">
        <v>0.1</v>
      </c>
      <c r="AC130" s="137">
        <v>0.1</v>
      </c>
      <c r="AD130" s="127"/>
      <c r="AE130" s="137">
        <v>0.1</v>
      </c>
      <c r="AF130" s="125"/>
      <c r="AG130" s="47"/>
      <c r="AH130" s="76"/>
      <c r="AI130" s="77"/>
      <c r="AJ130" s="273"/>
    </row>
    <row r="131" spans="1:36" ht="15.75" x14ac:dyDescent="0.25">
      <c r="G131" s="75"/>
      <c r="I131" s="38" t="s">
        <v>406</v>
      </c>
      <c r="J131" s="76"/>
      <c r="K131" s="76"/>
      <c r="L131" s="76"/>
      <c r="M131" s="76"/>
      <c r="N131" s="76"/>
      <c r="O131" s="77"/>
      <c r="P131" s="125"/>
      <c r="Q131" s="126"/>
      <c r="R131" s="138">
        <f>R129-R130</f>
        <v>-9.900000000000006E-3</v>
      </c>
      <c r="S131" s="138">
        <f>S129-S130</f>
        <v>5.3999999999999881E-3</v>
      </c>
      <c r="T131" s="138">
        <f>T129-T130</f>
        <v>-5.3300000000000007E-2</v>
      </c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27"/>
      <c r="AE131" s="125"/>
      <c r="AF131" s="125"/>
      <c r="AG131" s="47"/>
      <c r="AH131" s="76"/>
      <c r="AI131" s="77"/>
      <c r="AJ131" s="273"/>
    </row>
    <row r="132" spans="1:36" ht="15.75" x14ac:dyDescent="0.25">
      <c r="I132" s="38"/>
      <c r="Q132" s="132"/>
      <c r="R132" s="130"/>
      <c r="S132" s="130"/>
      <c r="T132" s="130"/>
      <c r="U132" s="133"/>
      <c r="V132" s="133"/>
      <c r="W132" s="133"/>
      <c r="X132" s="130"/>
      <c r="Y132" s="130"/>
      <c r="Z132" s="130"/>
      <c r="AA132" s="130"/>
      <c r="AB132" s="130"/>
      <c r="AC132" s="130"/>
      <c r="AD132" s="127"/>
      <c r="AE132" s="130"/>
      <c r="AF132" s="130"/>
      <c r="AG132" s="47"/>
      <c r="AJ132" s="274"/>
    </row>
    <row r="133" spans="1:36" ht="15.75" x14ac:dyDescent="0.25">
      <c r="I133" s="38" t="s">
        <v>413</v>
      </c>
      <c r="Q133" s="132"/>
      <c r="R133" s="140">
        <v>256248</v>
      </c>
      <c r="S133" s="201">
        <v>250107</v>
      </c>
      <c r="T133" s="202">
        <v>305940</v>
      </c>
      <c r="U133" s="131"/>
      <c r="V133" s="133"/>
      <c r="W133" s="133"/>
      <c r="X133" s="130"/>
      <c r="Y133" s="130"/>
      <c r="Z133" s="130"/>
      <c r="AA133" s="130"/>
      <c r="AB133" s="130"/>
      <c r="AC133" s="130"/>
      <c r="AD133" s="127"/>
      <c r="AE133" s="130"/>
      <c r="AF133" s="130"/>
      <c r="AG133" s="47"/>
      <c r="AJ133" s="274"/>
    </row>
    <row r="134" spans="1:36" ht="15.75" x14ac:dyDescent="0.25">
      <c r="I134" s="38" t="s">
        <v>414</v>
      </c>
      <c r="Q134" s="132"/>
      <c r="R134" s="131">
        <v>275000</v>
      </c>
      <c r="S134" s="131">
        <v>275000</v>
      </c>
      <c r="T134" s="131">
        <v>275000</v>
      </c>
      <c r="U134" s="131">
        <v>293000</v>
      </c>
      <c r="V134" s="131">
        <v>293000</v>
      </c>
      <c r="W134" s="131">
        <v>293000</v>
      </c>
      <c r="X134" s="131">
        <v>300000</v>
      </c>
      <c r="Y134" s="131">
        <v>300000</v>
      </c>
      <c r="Z134" s="131">
        <v>300000</v>
      </c>
      <c r="AA134" s="131">
        <v>300000</v>
      </c>
      <c r="AB134" s="131">
        <v>300000</v>
      </c>
      <c r="AC134" s="131">
        <v>300000</v>
      </c>
      <c r="AD134" s="127"/>
      <c r="AE134" s="131">
        <v>300000</v>
      </c>
      <c r="AF134" s="130"/>
      <c r="AG134" s="47"/>
      <c r="AJ134" s="274"/>
    </row>
    <row r="135" spans="1:36" ht="15.75" x14ac:dyDescent="0.25">
      <c r="G135" s="75"/>
      <c r="I135" s="38" t="s">
        <v>406</v>
      </c>
      <c r="J135" s="76"/>
      <c r="K135" s="76"/>
      <c r="L135" s="76"/>
      <c r="M135" s="76"/>
      <c r="N135" s="76"/>
      <c r="O135" s="77"/>
      <c r="P135" s="125"/>
      <c r="Q135" s="126"/>
      <c r="R135" s="128">
        <f>R134-R133</f>
        <v>18752</v>
      </c>
      <c r="S135" s="128">
        <f>S134-S133</f>
        <v>24893</v>
      </c>
      <c r="T135" s="128">
        <f>T134-T133</f>
        <v>-30940</v>
      </c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7"/>
      <c r="AE135" s="125"/>
      <c r="AF135" s="125"/>
      <c r="AG135" s="47"/>
      <c r="AH135" s="76"/>
      <c r="AI135" s="77"/>
      <c r="AJ135" s="90"/>
    </row>
    <row r="136" spans="1:36" ht="15.75" x14ac:dyDescent="0.25">
      <c r="I136" s="38"/>
      <c r="Q136" s="132"/>
      <c r="R136" s="131"/>
      <c r="S136" s="134"/>
      <c r="T136" s="135"/>
      <c r="U136" s="131"/>
      <c r="V136" s="133"/>
      <c r="W136" s="133"/>
      <c r="X136" s="130"/>
      <c r="Y136" s="130"/>
      <c r="Z136" s="130"/>
      <c r="AA136" s="130"/>
      <c r="AB136" s="130"/>
      <c r="AC136" s="130"/>
      <c r="AD136" s="127"/>
      <c r="AE136" s="130"/>
      <c r="AF136" s="130"/>
      <c r="AG136" s="47"/>
    </row>
    <row r="137" spans="1:36" s="78" customFormat="1" ht="15.75" x14ac:dyDescent="0.25">
      <c r="A137"/>
      <c r="B137"/>
      <c r="C137" s="74"/>
      <c r="D137" s="74"/>
      <c r="E137" s="74"/>
      <c r="F137" s="74"/>
      <c r="G137" s="74"/>
      <c r="H137" s="38"/>
      <c r="I137" s="38"/>
      <c r="O137" s="79"/>
      <c r="P137" s="130"/>
      <c r="Q137" s="132"/>
      <c r="R137" s="131"/>
      <c r="S137" s="134"/>
      <c r="T137" s="135"/>
      <c r="U137" s="131"/>
      <c r="V137" s="133"/>
      <c r="W137" s="133"/>
      <c r="X137" s="130"/>
      <c r="Y137" s="130"/>
      <c r="Z137" s="130"/>
      <c r="AA137" s="130"/>
      <c r="AB137" s="130"/>
      <c r="AC137" s="130"/>
      <c r="AD137" s="127"/>
      <c r="AE137" s="130"/>
      <c r="AF137" s="130"/>
      <c r="AG137" s="47"/>
      <c r="AI137" s="79"/>
      <c r="AJ137"/>
    </row>
    <row r="138" spans="1:36" s="78" customFormat="1" ht="15.75" x14ac:dyDescent="0.25">
      <c r="A138"/>
      <c r="B138"/>
      <c r="C138" s="74"/>
      <c r="D138" s="74"/>
      <c r="E138" s="74"/>
      <c r="F138" s="74"/>
      <c r="G138" s="74"/>
      <c r="H138" s="38"/>
      <c r="I138" s="38" t="s">
        <v>415</v>
      </c>
      <c r="O138" s="79"/>
      <c r="P138" s="130"/>
      <c r="Q138" s="132"/>
      <c r="R138" s="140">
        <v>4126</v>
      </c>
      <c r="S138" s="201">
        <v>74711</v>
      </c>
      <c r="T138" s="202">
        <v>-101036</v>
      </c>
      <c r="U138" s="131"/>
      <c r="V138" s="133"/>
      <c r="W138" s="133"/>
      <c r="X138" s="130"/>
      <c r="Y138" s="130"/>
      <c r="Z138" s="130"/>
      <c r="AA138" s="130"/>
      <c r="AB138" s="130"/>
      <c r="AC138" s="130"/>
      <c r="AD138" s="127"/>
      <c r="AE138" s="130"/>
      <c r="AF138" s="130"/>
      <c r="AG138" s="47"/>
      <c r="AI138" s="79"/>
      <c r="AJ138"/>
    </row>
    <row r="139" spans="1:36" s="78" customFormat="1" ht="15.75" x14ac:dyDescent="0.25">
      <c r="A139"/>
      <c r="B139"/>
      <c r="C139" s="74"/>
      <c r="D139" s="74"/>
      <c r="E139" s="74"/>
      <c r="F139" s="74"/>
      <c r="G139" s="74"/>
      <c r="H139" s="38"/>
      <c r="I139" s="38" t="s">
        <v>416</v>
      </c>
      <c r="O139" s="79"/>
      <c r="P139" s="130"/>
      <c r="Q139" s="132"/>
      <c r="R139" s="131">
        <f>R126*0.1</f>
        <v>24539.487342857145</v>
      </c>
      <c r="S139" s="131">
        <f>S126*0.1</f>
        <v>28123.852117857146</v>
      </c>
      <c r="T139" s="131">
        <f>T126*0.1</f>
        <v>35153.603477857148</v>
      </c>
      <c r="U139" s="131">
        <f>U126*0.1</f>
        <v>37877.609327857142</v>
      </c>
      <c r="V139" s="131">
        <f t="shared" ref="V139:AB139" si="32">V126*0.1</f>
        <v>44460.099457857141</v>
      </c>
      <c r="W139" s="131">
        <f>W126*0.1</f>
        <v>48899.89441785714</v>
      </c>
      <c r="X139" s="131">
        <f t="shared" si="32"/>
        <v>46609.959717857135</v>
      </c>
      <c r="Y139" s="131">
        <f t="shared" si="32"/>
        <v>48031.886800000007</v>
      </c>
      <c r="Z139" s="131">
        <f t="shared" si="32"/>
        <v>47006.840430000004</v>
      </c>
      <c r="AA139" s="131">
        <f t="shared" si="32"/>
        <v>54142.156279999996</v>
      </c>
      <c r="AB139" s="131">
        <f t="shared" si="32"/>
        <v>48250.101940000008</v>
      </c>
      <c r="AC139" s="131">
        <f>AC126*0.1+2995</f>
        <v>36904.511950000007</v>
      </c>
      <c r="AD139" s="127"/>
      <c r="AE139" s="130">
        <f>SUM(R139:AC139)</f>
        <v>500000.00326000003</v>
      </c>
      <c r="AF139" s="130"/>
      <c r="AG139" s="47"/>
      <c r="AI139" s="79"/>
      <c r="AJ139"/>
    </row>
    <row r="140" spans="1:36" ht="15.75" x14ac:dyDescent="0.25">
      <c r="G140" s="75"/>
      <c r="I140" s="38" t="s">
        <v>406</v>
      </c>
      <c r="J140" s="76"/>
      <c r="K140" s="76"/>
      <c r="L140" s="76"/>
      <c r="M140" s="76"/>
      <c r="N140" s="76"/>
      <c r="O140" s="77"/>
      <c r="P140" s="125"/>
      <c r="Q140" s="126"/>
      <c r="R140" s="128">
        <f>R138-R139</f>
        <v>-20413.487342857145</v>
      </c>
      <c r="S140" s="128">
        <f>S138-S139</f>
        <v>46587.147882142854</v>
      </c>
      <c r="T140" s="128">
        <f>T138-T139</f>
        <v>-136189.60347785713</v>
      </c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7"/>
      <c r="AE140" s="125"/>
      <c r="AF140" s="125"/>
      <c r="AG140" s="47"/>
      <c r="AH140" s="76"/>
      <c r="AI140" s="77"/>
      <c r="AJ140" s="90"/>
    </row>
    <row r="141" spans="1:36" s="78" customFormat="1" ht="15.75" x14ac:dyDescent="0.25">
      <c r="A141"/>
      <c r="B141"/>
      <c r="C141" s="74"/>
      <c r="D141" s="74"/>
      <c r="E141" s="74"/>
      <c r="F141" s="74"/>
      <c r="G141" s="74"/>
      <c r="H141" s="38"/>
      <c r="O141" s="79"/>
      <c r="P141" s="130"/>
      <c r="Q141" s="132"/>
      <c r="R141" s="131"/>
      <c r="S141" s="134"/>
      <c r="T141" s="135"/>
      <c r="U141" s="131"/>
      <c r="V141" s="133"/>
      <c r="W141" s="133"/>
      <c r="X141" s="130"/>
      <c r="Y141" s="130"/>
      <c r="Z141" s="130"/>
      <c r="AA141" s="130"/>
      <c r="AB141" s="130"/>
      <c r="AC141" s="130"/>
      <c r="AD141" s="132"/>
      <c r="AE141" s="130"/>
      <c r="AF141" s="130"/>
      <c r="AG141" s="47"/>
      <c r="AI141" s="79"/>
      <c r="AJ141"/>
    </row>
    <row r="142" spans="1:36" s="78" customFormat="1" ht="15.75" x14ac:dyDescent="0.25">
      <c r="A142"/>
      <c r="B142"/>
      <c r="C142" s="74"/>
      <c r="D142" s="74"/>
      <c r="E142" s="74"/>
      <c r="F142" s="74"/>
      <c r="G142" s="74"/>
      <c r="H142" s="38"/>
      <c r="O142" s="79"/>
      <c r="P142" s="130"/>
      <c r="Q142" s="79"/>
      <c r="R142" s="80"/>
      <c r="S142" s="3"/>
      <c r="T142" s="8"/>
      <c r="U142" s="80"/>
      <c r="V142" s="81"/>
      <c r="W142" s="81"/>
      <c r="AD142" s="79"/>
      <c r="AG142" s="47"/>
      <c r="AI142" s="79"/>
      <c r="AJ142"/>
    </row>
    <row r="143" spans="1:36" s="78" customFormat="1" ht="15.75" x14ac:dyDescent="0.25">
      <c r="A143"/>
      <c r="B143"/>
      <c r="C143" s="74"/>
      <c r="D143" s="74"/>
      <c r="E143" s="74"/>
      <c r="F143" s="74"/>
      <c r="G143" s="74"/>
      <c r="H143" s="38"/>
      <c r="O143" s="79"/>
      <c r="P143" s="130"/>
      <c r="Q143" s="79"/>
      <c r="R143" s="80"/>
      <c r="S143" s="3"/>
      <c r="T143" s="8"/>
      <c r="U143" s="80"/>
      <c r="V143" s="81"/>
      <c r="W143" s="81"/>
      <c r="AD143" s="79"/>
      <c r="AG143" s="47"/>
      <c r="AI143" s="79"/>
      <c r="AJ143"/>
    </row>
    <row r="144" spans="1:36" s="78" customFormat="1" ht="15.75" x14ac:dyDescent="0.25">
      <c r="A144"/>
      <c r="B144"/>
      <c r="C144" s="74"/>
      <c r="D144" s="74"/>
      <c r="E144" s="74"/>
      <c r="F144" s="74"/>
      <c r="G144" s="74"/>
      <c r="H144" s="38"/>
      <c r="O144" s="79"/>
      <c r="P144" s="130"/>
      <c r="Q144" s="79"/>
      <c r="R144" s="80"/>
      <c r="S144" s="3"/>
      <c r="T144" s="8"/>
      <c r="U144" s="80"/>
      <c r="V144" s="81"/>
      <c r="W144" s="81"/>
      <c r="AD144" s="79"/>
      <c r="AG144" s="47"/>
      <c r="AI144" s="79"/>
      <c r="AJ144"/>
    </row>
    <row r="145" spans="1:36" s="78" customFormat="1" ht="15.75" x14ac:dyDescent="0.25">
      <c r="A145"/>
      <c r="B145"/>
      <c r="C145" s="74"/>
      <c r="D145" s="74"/>
      <c r="E145" s="74"/>
      <c r="F145" s="74"/>
      <c r="G145" s="74"/>
      <c r="H145" s="38"/>
      <c r="O145" s="79"/>
      <c r="P145" s="130"/>
      <c r="Q145" s="79"/>
      <c r="R145" s="80"/>
      <c r="S145" s="3"/>
      <c r="T145" s="8"/>
      <c r="U145" s="80"/>
      <c r="V145" s="81"/>
      <c r="W145" s="81"/>
      <c r="AD145" s="79"/>
      <c r="AG145" s="47"/>
      <c r="AI145" s="79"/>
      <c r="AJ145"/>
    </row>
    <row r="146" spans="1:36" s="78" customFormat="1" ht="15.75" x14ac:dyDescent="0.25">
      <c r="A146"/>
      <c r="B146"/>
      <c r="C146" s="74"/>
      <c r="D146" s="74"/>
      <c r="E146" s="74"/>
      <c r="F146" s="74"/>
      <c r="G146" s="74"/>
      <c r="H146" s="38"/>
      <c r="O146" s="79"/>
      <c r="P146" s="130"/>
      <c r="Q146" s="79"/>
      <c r="R146" s="80"/>
      <c r="S146" s="3"/>
      <c r="T146" s="8"/>
      <c r="U146" s="80"/>
      <c r="V146" s="81"/>
      <c r="W146" s="81"/>
      <c r="AD146" s="79"/>
      <c r="AG146" s="47"/>
      <c r="AI146" s="79"/>
      <c r="AJ146"/>
    </row>
    <row r="147" spans="1:36" s="78" customFormat="1" ht="15.75" x14ac:dyDescent="0.25">
      <c r="A147"/>
      <c r="B147"/>
      <c r="C147" s="74"/>
      <c r="D147" s="74"/>
      <c r="E147" s="74"/>
      <c r="F147" s="74"/>
      <c r="G147" s="74"/>
      <c r="H147" s="38"/>
      <c r="O147" s="79"/>
      <c r="P147" s="130"/>
      <c r="Q147" s="79"/>
      <c r="R147" s="80"/>
      <c r="S147" s="3"/>
      <c r="T147" s="8"/>
      <c r="U147" s="80"/>
      <c r="V147" s="81"/>
      <c r="W147" s="81"/>
      <c r="AD147" s="79"/>
      <c r="AG147" s="79"/>
      <c r="AI147" s="79"/>
      <c r="AJ147"/>
    </row>
    <row r="148" spans="1:36" s="78" customFormat="1" x14ac:dyDescent="0.25">
      <c r="A148"/>
      <c r="B148"/>
      <c r="C148" s="74"/>
      <c r="D148" s="74"/>
      <c r="E148" s="74"/>
      <c r="F148" s="74"/>
      <c r="G148" s="74"/>
      <c r="H148" s="38"/>
      <c r="O148" s="79"/>
      <c r="P148" s="130"/>
      <c r="Q148" s="79"/>
      <c r="R148" s="80"/>
      <c r="S148" s="80"/>
      <c r="T148" s="80"/>
      <c r="U148" s="80"/>
      <c r="V148" s="81"/>
      <c r="W148" s="81"/>
      <c r="AD148" s="79"/>
      <c r="AG148" s="79"/>
      <c r="AI148" s="79"/>
      <c r="AJ148"/>
    </row>
  </sheetData>
  <mergeCells count="1">
    <mergeCell ref="R1:AC1"/>
  </mergeCells>
  <phoneticPr fontId="5" type="noConversion"/>
  <conditionalFormatting sqref="AH66 AH117 AH32:AH35 AH62:AH63 AH19:AH30 AH38 AH43:AH45 AH48:AH50 AH52:AH59 AH40:AH41 AH74:AH79 AH4:AH16 AH83:AH115">
    <cfRule type="cellIs" dxfId="1781" priority="112" operator="lessThan">
      <formula>I4</formula>
    </cfRule>
    <cfRule type="cellIs" dxfId="1780" priority="113" operator="greaterThan">
      <formula>I4</formula>
    </cfRule>
    <cfRule type="cellIs" dxfId="1779" priority="114" operator="equal">
      <formula>I4</formula>
    </cfRule>
  </conditionalFormatting>
  <conditionalFormatting sqref="AH82:AH84 AH80">
    <cfRule type="cellIs" dxfId="1778" priority="108" operator="greaterThan">
      <formula>$I$78</formula>
    </cfRule>
    <cfRule type="cellIs" dxfId="1777" priority="109" operator="lessThan">
      <formula>$I$78</formula>
    </cfRule>
    <cfRule type="cellIs" dxfId="1776" priority="110" operator="equal">
      <formula>$I$78</formula>
    </cfRule>
    <cfRule type="cellIs" dxfId="1775" priority="111" operator="equal">
      <formula>$P$78</formula>
    </cfRule>
  </conditionalFormatting>
  <conditionalFormatting sqref="E132:E134 E136:E139 E141:E1048576 E62:E63 E65:E66 E1:E60 E75:E126">
    <cfRule type="cellIs" dxfId="1774" priority="106" operator="equal">
      <formula>"no"</formula>
    </cfRule>
    <cfRule type="cellIs" dxfId="1773" priority="107" operator="equal">
      <formula>"yes"</formula>
    </cfRule>
  </conditionalFormatting>
  <conditionalFormatting sqref="E32">
    <cfRule type="cellIs" dxfId="1772" priority="104" operator="equal">
      <formula>"no"</formula>
    </cfRule>
    <cfRule type="cellIs" dxfId="1771" priority="105" operator="equal">
      <formula>"yes"</formula>
    </cfRule>
  </conditionalFormatting>
  <conditionalFormatting sqref="E22">
    <cfRule type="cellIs" dxfId="1770" priority="102" operator="equal">
      <formula>"no"</formula>
    </cfRule>
    <cfRule type="cellIs" dxfId="1769" priority="103" operator="equal">
      <formula>"yes"</formula>
    </cfRule>
  </conditionalFormatting>
  <conditionalFormatting sqref="I40 I62:I63 I19:I29 I97:I114 I55:I59 I52:I53 I66:I73 I4:I15 I75:I92">
    <cfRule type="cellIs" dxfId="1768" priority="101" operator="equal">
      <formula>0</formula>
    </cfRule>
  </conditionalFormatting>
  <conditionalFormatting sqref="I47:I49">
    <cfRule type="cellIs" dxfId="1767" priority="100" operator="equal">
      <formula>0</formula>
    </cfRule>
  </conditionalFormatting>
  <conditionalFormatting sqref="AH47">
    <cfRule type="cellIs" dxfId="1766" priority="97" operator="lessThan">
      <formula>I47</formula>
    </cfRule>
    <cfRule type="cellIs" dxfId="1765" priority="98" operator="greaterThan">
      <formula>I47</formula>
    </cfRule>
    <cfRule type="cellIs" dxfId="1764" priority="99" operator="equal">
      <formula>I47</formula>
    </cfRule>
  </conditionalFormatting>
  <conditionalFormatting sqref="D132:D134 D136:D139 D141:D1048576 D62:D63 D65:D66 D1:D60 D75:D126">
    <cfRule type="cellIs" dxfId="1763" priority="96" operator="equal">
      <formula>"TBD"</formula>
    </cfRule>
  </conditionalFormatting>
  <conditionalFormatting sqref="R119:AC119">
    <cfRule type="cellIs" dxfId="1762" priority="73" operator="equal">
      <formula>0</formula>
    </cfRule>
    <cfRule type="cellIs" dxfId="1761" priority="94" operator="lessThan">
      <formula>0</formula>
    </cfRule>
    <cfRule type="cellIs" dxfId="1760" priority="95" operator="greaterThan">
      <formula>0</formula>
    </cfRule>
  </conditionalFormatting>
  <conditionalFormatting sqref="E127:E131">
    <cfRule type="cellIs" dxfId="1759" priority="92" operator="equal">
      <formula>"no"</formula>
    </cfRule>
    <cfRule type="cellIs" dxfId="1758" priority="93" operator="equal">
      <formula>"yes"</formula>
    </cfRule>
  </conditionalFormatting>
  <conditionalFormatting sqref="D127:D131">
    <cfRule type="cellIs" dxfId="1757" priority="91" operator="equal">
      <formula>"TBD"</formula>
    </cfRule>
  </conditionalFormatting>
  <conditionalFormatting sqref="R127:AC128">
    <cfRule type="cellIs" dxfId="1756" priority="89" operator="lessThan">
      <formula>0</formula>
    </cfRule>
    <cfRule type="cellIs" dxfId="1755" priority="90" operator="greaterThan">
      <formula>0</formula>
    </cfRule>
  </conditionalFormatting>
  <conditionalFormatting sqref="E135">
    <cfRule type="cellIs" dxfId="1754" priority="87" operator="equal">
      <formula>"no"</formula>
    </cfRule>
    <cfRule type="cellIs" dxfId="1753" priority="88" operator="equal">
      <formula>"yes"</formula>
    </cfRule>
  </conditionalFormatting>
  <conditionalFormatting sqref="D135">
    <cfRule type="cellIs" dxfId="1752" priority="86" operator="equal">
      <formula>"TBD"</formula>
    </cfRule>
  </conditionalFormatting>
  <conditionalFormatting sqref="R135:AC135">
    <cfRule type="cellIs" dxfId="1751" priority="84" operator="lessThan">
      <formula>0</formula>
    </cfRule>
    <cfRule type="cellIs" dxfId="1750" priority="85" operator="greaterThan">
      <formula>0</formula>
    </cfRule>
  </conditionalFormatting>
  <conditionalFormatting sqref="E140">
    <cfRule type="cellIs" dxfId="1749" priority="82" operator="equal">
      <formula>"no"</formula>
    </cfRule>
    <cfRule type="cellIs" dxfId="1748" priority="83" operator="equal">
      <formula>"yes"</formula>
    </cfRule>
  </conditionalFormatting>
  <conditionalFormatting sqref="D140">
    <cfRule type="cellIs" dxfId="1747" priority="81" operator="equal">
      <formula>"TBD"</formula>
    </cfRule>
  </conditionalFormatting>
  <conditionalFormatting sqref="R140:AC140">
    <cfRule type="cellIs" dxfId="1746" priority="79" operator="lessThan">
      <formula>0</formula>
    </cfRule>
    <cfRule type="cellIs" dxfId="1745" priority="80" operator="greaterThan">
      <formula>0</formula>
    </cfRule>
  </conditionalFormatting>
  <conditionalFormatting sqref="P119">
    <cfRule type="cellIs" dxfId="1744" priority="77" operator="lessThan">
      <formula>0</formula>
    </cfRule>
    <cfRule type="cellIs" dxfId="1743" priority="78" operator="greaterThan">
      <formula>0</formula>
    </cfRule>
  </conditionalFormatting>
  <conditionalFormatting sqref="R123:T123">
    <cfRule type="cellIs" dxfId="1742" priority="74" operator="equal">
      <formula>0</formula>
    </cfRule>
    <cfRule type="cellIs" dxfId="1741" priority="75" operator="lessThan">
      <formula>0</formula>
    </cfRule>
    <cfRule type="cellIs" dxfId="1740" priority="76" operator="greaterThan">
      <formula>0</formula>
    </cfRule>
  </conditionalFormatting>
  <conditionalFormatting sqref="R131:T131">
    <cfRule type="cellIs" dxfId="1739" priority="70" operator="lessThan">
      <formula>0</formula>
    </cfRule>
    <cfRule type="cellIs" dxfId="1738" priority="71" operator="equal">
      <formula>0</formula>
    </cfRule>
    <cfRule type="cellIs" dxfId="1737" priority="72" operator="greaterThan">
      <formula>0</formula>
    </cfRule>
  </conditionalFormatting>
  <conditionalFormatting sqref="AH18">
    <cfRule type="cellIs" dxfId="1736" priority="67" operator="lessThan">
      <formula>I18</formula>
    </cfRule>
    <cfRule type="cellIs" dxfId="1735" priority="68" operator="greaterThan">
      <formula>I18</formula>
    </cfRule>
    <cfRule type="cellIs" dxfId="1734" priority="69" operator="equal">
      <formula>I18</formula>
    </cfRule>
  </conditionalFormatting>
  <conditionalFormatting sqref="E18">
    <cfRule type="cellIs" dxfId="1733" priority="65" operator="equal">
      <formula>"no"</formula>
    </cfRule>
    <cfRule type="cellIs" dxfId="1732" priority="66" operator="equal">
      <formula>"yes"</formula>
    </cfRule>
  </conditionalFormatting>
  <conditionalFormatting sqref="I18">
    <cfRule type="cellIs" dxfId="1731" priority="64" operator="equal">
      <formula>0</formula>
    </cfRule>
  </conditionalFormatting>
  <conditionalFormatting sqref="D18">
    <cfRule type="cellIs" dxfId="1730" priority="63" operator="equal">
      <formula>"TBD"</formula>
    </cfRule>
  </conditionalFormatting>
  <conditionalFormatting sqref="AH36:AH37">
    <cfRule type="cellIs" dxfId="1729" priority="60" operator="lessThan">
      <formula>I36</formula>
    </cfRule>
    <cfRule type="cellIs" dxfId="1728" priority="61" operator="greaterThan">
      <formula>I36</formula>
    </cfRule>
    <cfRule type="cellIs" dxfId="1727" priority="62" operator="equal">
      <formula>I36</formula>
    </cfRule>
  </conditionalFormatting>
  <conditionalFormatting sqref="AH80">
    <cfRule type="cellIs" dxfId="1726" priority="57" operator="lessThan">
      <formula>I80</formula>
    </cfRule>
    <cfRule type="cellIs" dxfId="1725" priority="58" operator="greaterThan">
      <formula>I80</formula>
    </cfRule>
    <cfRule type="cellIs" dxfId="1724" priority="59" operator="equal">
      <formula>I80</formula>
    </cfRule>
  </conditionalFormatting>
  <conditionalFormatting sqref="AH81">
    <cfRule type="cellIs" dxfId="1723" priority="54" operator="lessThan">
      <formula>I81</formula>
    </cfRule>
    <cfRule type="cellIs" dxfId="1722" priority="55" operator="greaterThan">
      <formula>I81</formula>
    </cfRule>
    <cfRule type="cellIs" dxfId="1721" priority="56" operator="equal">
      <formula>I81</formula>
    </cfRule>
  </conditionalFormatting>
  <conditionalFormatting sqref="E74:E75">
    <cfRule type="cellIs" dxfId="1720" priority="46" operator="equal">
      <formula>"no"</formula>
    </cfRule>
    <cfRule type="cellIs" dxfId="1719" priority="47" operator="equal">
      <formula>"yes"</formula>
    </cfRule>
  </conditionalFormatting>
  <conditionalFormatting sqref="I74:I75">
    <cfRule type="cellIs" dxfId="1718" priority="45" operator="equal">
      <formula>0</formula>
    </cfRule>
  </conditionalFormatting>
  <conditionalFormatting sqref="D74:D75">
    <cfRule type="cellIs" dxfId="1717" priority="44" operator="equal">
      <formula>"TBD"</formula>
    </cfRule>
  </conditionalFormatting>
  <conditionalFormatting sqref="AH67:AH73">
    <cfRule type="cellIs" dxfId="1716" priority="41" operator="lessThan">
      <formula>I67</formula>
    </cfRule>
    <cfRule type="cellIs" dxfId="1715" priority="42" operator="greaterThan">
      <formula>I67</formula>
    </cfRule>
    <cfRule type="cellIs" dxfId="1714" priority="43" operator="equal">
      <formula>I67</formula>
    </cfRule>
  </conditionalFormatting>
  <conditionalFormatting sqref="E67:E73">
    <cfRule type="cellIs" dxfId="1713" priority="39" operator="equal">
      <formula>"no"</formula>
    </cfRule>
    <cfRule type="cellIs" dxfId="1712" priority="40" operator="equal">
      <formula>"yes"</formula>
    </cfRule>
  </conditionalFormatting>
  <conditionalFormatting sqref="D67:D73">
    <cfRule type="cellIs" dxfId="1711" priority="38" operator="equal">
      <formula>"TBD"</formula>
    </cfRule>
  </conditionalFormatting>
  <conditionalFormatting sqref="E61">
    <cfRule type="cellIs" dxfId="1710" priority="36" operator="equal">
      <formula>"no"</formula>
    </cfRule>
    <cfRule type="cellIs" dxfId="1709" priority="37" operator="equal">
      <formula>"yes"</formula>
    </cfRule>
  </conditionalFormatting>
  <conditionalFormatting sqref="D61">
    <cfRule type="cellIs" dxfId="1708" priority="35" operator="equal">
      <formula>"TBD"</formula>
    </cfRule>
  </conditionalFormatting>
  <conditionalFormatting sqref="AH64">
    <cfRule type="cellIs" dxfId="1707" priority="32" operator="lessThan">
      <formula>I64</formula>
    </cfRule>
    <cfRule type="cellIs" dxfId="1706" priority="33" operator="greaterThan">
      <formula>I64</formula>
    </cfRule>
    <cfRule type="cellIs" dxfId="1705" priority="34" operator="equal">
      <formula>I64</formula>
    </cfRule>
  </conditionalFormatting>
  <conditionalFormatting sqref="E64">
    <cfRule type="cellIs" dxfId="1704" priority="30" operator="equal">
      <formula>"no"</formula>
    </cfRule>
    <cfRule type="cellIs" dxfId="1703" priority="31" operator="equal">
      <formula>"yes"</formula>
    </cfRule>
  </conditionalFormatting>
  <conditionalFormatting sqref="D64">
    <cfRule type="cellIs" dxfId="1702" priority="29" operator="equal">
      <formula>"TBD"</formula>
    </cfRule>
  </conditionalFormatting>
  <conditionalFormatting sqref="AH60">
    <cfRule type="cellIs" dxfId="1701" priority="26" operator="lessThan">
      <formula>I60</formula>
    </cfRule>
    <cfRule type="cellIs" dxfId="1700" priority="27" operator="greaterThan">
      <formula>I60</formula>
    </cfRule>
    <cfRule type="cellIs" dxfId="1699" priority="28" operator="equal">
      <formula>I60</formula>
    </cfRule>
  </conditionalFormatting>
  <conditionalFormatting sqref="E60">
    <cfRule type="cellIs" dxfId="1698" priority="24" operator="equal">
      <formula>"no"</formula>
    </cfRule>
    <cfRule type="cellIs" dxfId="1697" priority="25" operator="equal">
      <formula>"yes"</formula>
    </cfRule>
  </conditionalFormatting>
  <conditionalFormatting sqref="D60">
    <cfRule type="cellIs" dxfId="1696" priority="23" operator="equal">
      <formula>"TBD"</formula>
    </cfRule>
  </conditionalFormatting>
  <conditionalFormatting sqref="E58">
    <cfRule type="cellIs" dxfId="1695" priority="21" operator="equal">
      <formula>"no"</formula>
    </cfRule>
    <cfRule type="cellIs" dxfId="1694" priority="22" operator="equal">
      <formula>"yes"</formula>
    </cfRule>
  </conditionalFormatting>
  <conditionalFormatting sqref="D58">
    <cfRule type="cellIs" dxfId="1693" priority="20" operator="equal">
      <formula>"TBD"</formula>
    </cfRule>
  </conditionalFormatting>
  <conditionalFormatting sqref="E42:E44">
    <cfRule type="cellIs" dxfId="1692" priority="9" operator="equal">
      <formula>"no"</formula>
    </cfRule>
    <cfRule type="cellIs" dxfId="1691" priority="10" operator="equal">
      <formula>"yes"</formula>
    </cfRule>
  </conditionalFormatting>
  <conditionalFormatting sqref="I43:I44">
    <cfRule type="cellIs" dxfId="1690" priority="8" operator="equal">
      <formula>0</formula>
    </cfRule>
  </conditionalFormatting>
  <conditionalFormatting sqref="D42:D44">
    <cfRule type="cellIs" dxfId="1689" priority="7" operator="equal">
      <formula>"TBD"</formula>
    </cfRule>
  </conditionalFormatting>
  <pageMargins left="0.2" right="0.25" top="0.75" bottom="0.75" header="0.3" footer="0.3"/>
  <pageSetup paperSize="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55D2741B133745982F4AD491BEC843" ma:contentTypeVersion="5" ma:contentTypeDescription="Create a new document." ma:contentTypeScope="" ma:versionID="4e85d805fcd9277b2fce514375733456">
  <xsd:schema xmlns:xsd="http://www.w3.org/2001/XMLSchema" xmlns:xs="http://www.w3.org/2001/XMLSchema" xmlns:p="http://schemas.microsoft.com/office/2006/metadata/properties" xmlns:ns3="5860f6ca-13f7-4501-bec3-fdd68412dd56" xmlns:ns4="03d50c4c-a6a1-417f-8932-71e842a3d663" targetNamespace="http://schemas.microsoft.com/office/2006/metadata/properties" ma:root="true" ma:fieldsID="2bdb57cbf09794e51036db3bf68e080f" ns3:_="" ns4:_="">
    <xsd:import namespace="5860f6ca-13f7-4501-bec3-fdd68412dd56"/>
    <xsd:import namespace="03d50c4c-a6a1-417f-8932-71e842a3d6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0f6ca-13f7-4501-bec3-fdd68412dd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0c4c-a6a1-417f-8932-71e842a3d6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A1E94B-427D-4342-9539-10FC34CE79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684F6B-AC5E-4F22-BAF0-8B9017E4E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60f6ca-13f7-4501-bec3-fdd68412dd56"/>
    <ds:schemaRef ds:uri="03d50c4c-a6a1-417f-8932-71e842a3d6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0D5390-21E9-4CA0-8162-837720795D1B}">
  <ds:schemaRefs>
    <ds:schemaRef ds:uri="http://purl.org/dc/dcmitype/"/>
    <ds:schemaRef ds:uri="5860f6ca-13f7-4501-bec3-fdd68412dd56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3d50c4c-a6a1-417f-8932-71e842a3d66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Sheet 2</vt:lpstr>
      <vt:lpstr>2021 Billing Projections</vt:lpstr>
      <vt:lpstr>01 2021</vt:lpstr>
      <vt:lpstr>02 2021</vt:lpstr>
      <vt:lpstr>03 2021</vt:lpstr>
      <vt:lpstr>04 2021</vt:lpstr>
      <vt:lpstr>05 2021</vt:lpstr>
      <vt:lpstr>06 2021</vt:lpstr>
      <vt:lpstr>07 2021</vt:lpstr>
      <vt:lpstr>08 2021</vt:lpstr>
      <vt:lpstr>09 2021</vt:lpstr>
      <vt:lpstr>10 2021</vt:lpstr>
      <vt:lpstr>11 2021</vt:lpstr>
      <vt:lpstr>12 2021</vt:lpstr>
      <vt:lpstr>01 2022</vt:lpstr>
      <vt:lpstr>02 2022</vt:lpstr>
      <vt:lpstr>03 2022</vt:lpstr>
      <vt:lpstr>04 2022</vt:lpstr>
      <vt:lpstr>'Sheet 2'!Print_Area</vt:lpstr>
      <vt:lpstr>'Sheet 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Snyder</dc:creator>
  <cp:keywords/>
  <dc:description/>
  <cp:lastModifiedBy>Paul Gerber</cp:lastModifiedBy>
  <cp:revision/>
  <cp:lastPrinted>2022-02-07T14:00:39Z</cp:lastPrinted>
  <dcterms:created xsi:type="dcterms:W3CDTF">2019-04-17T18:28:55Z</dcterms:created>
  <dcterms:modified xsi:type="dcterms:W3CDTF">2022-04-18T12:55:39Z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0x0101009255D2741B133745982F4AD491BEC843</vt:lpwstr>
  </property>
</Properties>
</file>